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5280" windowWidth="21636" windowHeight="4860" activeTab="1"/>
  </bookViews>
  <sheets>
    <sheet name="2" sheetId="1" r:id="rId1"/>
    <sheet name="3 " sheetId="10" r:id="rId2"/>
    <sheet name="4" sheetId="3" r:id="rId3"/>
    <sheet name="5" sheetId="4" r:id="rId4"/>
    <sheet name="6" sheetId="5" r:id="rId5"/>
    <sheet name="7" sheetId="6" r:id="rId6"/>
    <sheet name="8 " sheetId="11" r:id="rId7"/>
    <sheet name="9" sheetId="12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2" hidden="1">'4'!$B$10:$G$29</definedName>
    <definedName name="_xlnm._FilterDatabase" localSheetId="3" hidden="1">'5'!$C$10:$G$36</definedName>
    <definedName name="_xlnm.Print_Area" localSheetId="1">'3 '!$A$1:$L$86</definedName>
  </definedNames>
  <calcPr calcId="145621"/>
</workbook>
</file>

<file path=xl/calcChain.xml><?xml version="1.0" encoding="utf-8"?>
<calcChain xmlns="http://schemas.openxmlformats.org/spreadsheetml/2006/main">
  <c r="F16" i="6" l="1"/>
  <c r="E16" i="6"/>
  <c r="D16" i="6"/>
  <c r="F12" i="6"/>
  <c r="E12" i="6"/>
  <c r="D12" i="6"/>
  <c r="E11" i="5"/>
  <c r="D11" i="5"/>
  <c r="E10" i="5"/>
  <c r="D10" i="5"/>
  <c r="D9" i="5"/>
  <c r="F32" i="4"/>
  <c r="E32" i="4"/>
  <c r="F26" i="4"/>
  <c r="E26" i="4"/>
  <c r="F25" i="4"/>
  <c r="E25" i="4"/>
  <c r="F24" i="4"/>
  <c r="E24" i="4"/>
  <c r="F23" i="4"/>
  <c r="F27" i="4" s="1"/>
  <c r="E23" i="4"/>
  <c r="E27" i="4" s="1"/>
  <c r="E20" i="4"/>
  <c r="F19" i="4"/>
  <c r="E19" i="4"/>
  <c r="F16" i="4"/>
  <c r="E16" i="4"/>
  <c r="F15" i="4"/>
  <c r="E15" i="4"/>
  <c r="F14" i="4"/>
  <c r="E14" i="4"/>
  <c r="F13" i="4"/>
  <c r="E13" i="4"/>
  <c r="F28" i="4" l="1"/>
  <c r="E28" i="4"/>
  <c r="E21" i="4"/>
  <c r="E17" i="4" s="1"/>
  <c r="E11" i="4" l="1"/>
  <c r="F21" i="4"/>
  <c r="F17" i="4" s="1"/>
  <c r="F11" i="4" s="1"/>
  <c r="F14" i="3" l="1"/>
  <c r="E14" i="3"/>
  <c r="D14" i="3"/>
  <c r="F27" i="3" l="1"/>
  <c r="E27" i="3"/>
  <c r="E10" i="3"/>
  <c r="D27" i="3"/>
  <c r="D10" i="3"/>
  <c r="F10" i="3" s="1"/>
  <c r="G15" i="10" l="1"/>
  <c r="G14" i="10" s="1"/>
  <c r="G18" i="10"/>
  <c r="J18" i="10" s="1"/>
  <c r="J15" i="10" l="1"/>
  <c r="J14" i="10" s="1"/>
  <c r="G62" i="10" l="1"/>
  <c r="J62" i="10" s="1"/>
  <c r="G58" i="10"/>
  <c r="J58" i="10" s="1"/>
  <c r="G54" i="10"/>
  <c r="G50" i="10"/>
  <c r="G46" i="10"/>
  <c r="G42" i="10"/>
  <c r="G81" i="10"/>
  <c r="J70" i="10"/>
  <c r="J73" i="10"/>
  <c r="J74" i="10"/>
  <c r="Q41" i="10"/>
  <c r="G41" i="10" s="1"/>
  <c r="Q42" i="10"/>
  <c r="Q43" i="10"/>
  <c r="G43" i="10" s="1"/>
  <c r="Q44" i="10"/>
  <c r="G44" i="10" s="1"/>
  <c r="Q45" i="10"/>
  <c r="G45" i="10" s="1"/>
  <c r="Q46" i="10"/>
  <c r="Q47" i="10"/>
  <c r="G47" i="10" s="1"/>
  <c r="Q48" i="10"/>
  <c r="G48" i="10" s="1"/>
  <c r="Q49" i="10"/>
  <c r="G49" i="10" s="1"/>
  <c r="Q50" i="10"/>
  <c r="Q51" i="10"/>
  <c r="G51" i="10" s="1"/>
  <c r="Q52" i="10"/>
  <c r="G52" i="10" s="1"/>
  <c r="Q53" i="10"/>
  <c r="G53" i="10" s="1"/>
  <c r="Q54" i="10"/>
  <c r="Q55" i="10"/>
  <c r="G55" i="10" s="1"/>
  <c r="Q56" i="10"/>
  <c r="G56" i="10" s="1"/>
  <c r="J56" i="10" s="1"/>
  <c r="Q57" i="10"/>
  <c r="G57" i="10" s="1"/>
  <c r="J57" i="10" s="1"/>
  <c r="Q58" i="10"/>
  <c r="Q59" i="10"/>
  <c r="G59" i="10" s="1"/>
  <c r="J59" i="10" s="1"/>
  <c r="Q60" i="10"/>
  <c r="G60" i="10" s="1"/>
  <c r="J60" i="10" s="1"/>
  <c r="Q61" i="10"/>
  <c r="G61" i="10" s="1"/>
  <c r="J61" i="10" s="1"/>
  <c r="Q62" i="10"/>
  <c r="Q63" i="10"/>
  <c r="G63" i="10" s="1"/>
  <c r="J63" i="10" s="1"/>
  <c r="Q64" i="10"/>
  <c r="G64" i="10" s="1"/>
  <c r="Q65" i="10"/>
  <c r="G65" i="10" s="1"/>
  <c r="Q66" i="10"/>
  <c r="G66" i="10" s="1"/>
  <c r="J66" i="10" s="1"/>
  <c r="Q67" i="10"/>
  <c r="G67" i="10" s="1"/>
  <c r="J67" i="10" s="1"/>
  <c r="Q68" i="10"/>
  <c r="G68" i="10" s="1"/>
  <c r="Q69" i="10"/>
  <c r="G69" i="10" s="1"/>
  <c r="Q70" i="10"/>
  <c r="G70" i="10" s="1"/>
  <c r="Q71" i="10"/>
  <c r="G71" i="10" s="1"/>
  <c r="J71" i="10" s="1"/>
  <c r="Q72" i="10"/>
  <c r="G72" i="10" s="1"/>
  <c r="J72" i="10" s="1"/>
  <c r="Q73" i="10"/>
  <c r="G73" i="10" s="1"/>
  <c r="Q74" i="10"/>
  <c r="G74" i="10" s="1"/>
  <c r="Q75" i="10"/>
  <c r="G75" i="10" s="1"/>
  <c r="J75" i="10" s="1"/>
  <c r="Q76" i="10"/>
  <c r="G76" i="10" s="1"/>
  <c r="Q77" i="10"/>
  <c r="G77" i="10" s="1"/>
  <c r="Q78" i="10"/>
  <c r="G78" i="10" s="1"/>
  <c r="J78" i="10" s="1"/>
  <c r="Q40" i="10"/>
  <c r="G40" i="10" s="1"/>
  <c r="J68" i="10"/>
  <c r="J69" i="10"/>
  <c r="J64" i="10"/>
  <c r="J65" i="10"/>
  <c r="J77" i="10"/>
  <c r="G37" i="10"/>
  <c r="G34" i="10"/>
  <c r="G33" i="10"/>
  <c r="G30" i="10"/>
  <c r="G29" i="10"/>
  <c r="G26" i="10"/>
  <c r="G25" i="10"/>
  <c r="G22" i="10"/>
  <c r="G21" i="10"/>
  <c r="J37" i="10"/>
  <c r="J36" i="10"/>
  <c r="J35" i="10"/>
  <c r="J81" i="10" l="1"/>
  <c r="J40" i="10"/>
  <c r="E9" i="5" l="1"/>
  <c r="J41" i="10" l="1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76" i="10"/>
  <c r="J22" i="10"/>
  <c r="J21" i="10"/>
  <c r="J26" i="10"/>
  <c r="J25" i="10"/>
  <c r="J24" i="10"/>
  <c r="J23" i="10"/>
  <c r="J27" i="10"/>
  <c r="J28" i="10"/>
  <c r="J29" i="10"/>
  <c r="J30" i="10"/>
  <c r="J31" i="10"/>
  <c r="J32" i="10"/>
  <c r="J33" i="10"/>
  <c r="J34" i="10"/>
  <c r="J20" i="10" l="1"/>
  <c r="J19" i="10"/>
</calcChain>
</file>

<file path=xl/sharedStrings.xml><?xml version="1.0" encoding="utf-8"?>
<sst xmlns="http://schemas.openxmlformats.org/spreadsheetml/2006/main" count="346" uniqueCount="229">
  <si>
    <t xml:space="preserve">1. Полное наименование </t>
  </si>
  <si>
    <t xml:space="preserve">2. Сокращенное наименование </t>
  </si>
  <si>
    <t>3. Место нахождения</t>
  </si>
  <si>
    <t xml:space="preserve">4. Адрес юридического лица </t>
  </si>
  <si>
    <t xml:space="preserve">5. ИНН </t>
  </si>
  <si>
    <t xml:space="preserve">6. КПП </t>
  </si>
  <si>
    <t>7. Ф.И.О. руководителя</t>
  </si>
  <si>
    <t xml:space="preserve">9. Контактный телефон </t>
  </si>
  <si>
    <t xml:space="preserve">8. Адрес электронной почты </t>
  </si>
  <si>
    <t xml:space="preserve">10. Факс </t>
  </si>
  <si>
    <t>Приложение 2</t>
  </si>
  <si>
    <t>Публичное акционерное общество энергетики и эликтирификации "Ленэнерго"</t>
  </si>
  <si>
    <t>ПАО "Ленэнерго"</t>
  </si>
  <si>
    <t>Санкт-Петербург</t>
  </si>
  <si>
    <t>office@lenenergo.ru</t>
  </si>
  <si>
    <t xml:space="preserve">+7 (812) 595 8613 </t>
  </si>
  <si>
    <t>+7 (812) 494 3254</t>
  </si>
  <si>
    <t>ПРОГНОЗНЫЕ СВЕДЕНИЯ</t>
  </si>
  <si>
    <t>о расходах за технологическое присоединение</t>
  </si>
  <si>
    <t>(наименование сетевой организации)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</si>
  <si>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</si>
  <si>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</si>
  <si>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</si>
  <si>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 кВ и присоединяемой</t>
  </si>
  <si>
    <t>мощностью менее 8900 кВт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</si>
  <si>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</si>
  <si>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</si>
  <si>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</si>
  <si>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</si>
  <si>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</si>
  <si>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</si>
  <si>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</si>
  <si>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</si>
  <si>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</si>
  <si>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Приложение 3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</si>
  <si>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</si>
  <si>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</si>
  <si>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</si>
  <si>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</si>
  <si>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</si>
  <si>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</si>
  <si>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</si>
  <si>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</si>
  <si>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2.</t>
  </si>
  <si>
    <t>Разработка сетевой организацией проектной документации по 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</si>
  <si>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</si>
  <si>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</si>
  <si>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</si>
  <si>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</si>
  <si>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</si>
  <si>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4.</t>
  </si>
  <si>
    <t>Проверка сетевой 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</si>
  <si>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</si>
  <si>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</si>
  <si>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</si>
  <si>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</si>
  <si>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Приложение 4</t>
  </si>
  <si>
    <t>РАСЧЕТ</t>
  </si>
  <si>
    <t>необходимой валовой выручки сетевой организации</t>
  </si>
  <si>
    <t>на технологическое присоединение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</si>
  <si>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</si>
  <si>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</si>
  <si>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</si>
  <si>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</si>
  <si>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</si>
  <si>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</si>
  <si>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</si>
  <si>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</si>
  <si>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</si>
  <si>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</si>
  <si>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</si>
  <si>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</si>
  <si>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</si>
  <si>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</si>
  <si>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</si>
  <si>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</si>
  <si>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</si>
  <si>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</si>
  <si>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</si>
  <si>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</si>
  <si>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</si>
  <si>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</si>
  <si>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</si>
  <si>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</si>
  <si>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</si>
  <si>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Приложение 5</t>
  </si>
  <si>
    <t>ФАКТИЧЕСКИЕ СРЕДНИЕ ДАННЫЕ</t>
  </si>
  <si>
    <t>о присоединенных объемах максимальной мощности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</si>
  <si>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</si>
  <si>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</si>
  <si>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</si>
  <si>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</si>
  <si>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</si>
  <si>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6</t>
  </si>
  <si>
    <t>о длине линий электропередачи и об объемах максимальной</t>
  </si>
  <si>
    <t>мощности построенных объектов за 3 предыдущих года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</si>
  <si>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</si>
  <si>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</si>
  <si>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</si>
  <si>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</si>
  <si>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</si>
  <si>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</si>
  <si>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Строительство воздушных линий электропередачи:</t>
  </si>
  <si>
    <t>Приложение 7</t>
  </si>
  <si>
    <t>Категория заявителей</t>
  </si>
  <si>
    <t>Количество договоров (штук)</t>
  </si>
  <si>
    <t>Максимальная мощность (кВт)</t>
  </si>
  <si>
    <t>35 кВ и выше</t>
  </si>
  <si>
    <t>Объекты генерации</t>
  </si>
  <si>
    <t>До 15 кВт - всего</t>
  </si>
  <si>
    <t>От 15 до 150 кВт - всего</t>
  </si>
  <si>
    <t>От 150 кВт до 670 кВт - всего</t>
  </si>
  <si>
    <t>От 670 кВт до 8900 кВт - всего</t>
  </si>
  <si>
    <t>ИНФОРМАЦИЯ</t>
  </si>
  <si>
    <t>об осуществлении технологического присоединения</t>
  </si>
  <si>
    <t>Стоимость договоров (без НДС) (тыс. рублей)</t>
  </si>
  <si>
    <t>От 8900 кВт - всего</t>
  </si>
  <si>
    <t>Приложение 8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</si>
  <si>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</si>
  <si>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 xml:space="preserve"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</t>
  </si>
  <si>
    <t>Стандартизированная тарифная ставка на покрытие расходов сетевой организации на строительство кабельных линий электропередачи на  уровне напряжения НН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</si>
  <si>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</t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</si>
  <si>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1.1</t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</si>
  <si>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1.2</t>
    </r>
  </si>
  <si>
    <t>руб./кВт.</t>
  </si>
  <si>
    <t>х</t>
  </si>
  <si>
    <t>в т.ч.</t>
  </si>
  <si>
    <t>руб./км</t>
  </si>
  <si>
    <t>руб./кВт</t>
  </si>
  <si>
    <t>Уровень напряжения</t>
  </si>
  <si>
    <t>6-20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</si>
  <si>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</si>
  <si>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1.3</t>
    </r>
    <r>
      <rPr>
        <sz val="11"/>
        <color theme="1"/>
        <rFont val="Calibri"/>
        <family val="2"/>
        <charset val="204"/>
        <scheme val="minor"/>
      </rPr>
      <t/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</si>
  <si>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1.4</t>
    </r>
    <r>
      <rPr>
        <sz val="11"/>
        <color theme="1"/>
        <rFont val="Calibri"/>
        <family val="2"/>
        <charset val="204"/>
        <scheme val="minor"/>
      </rPr>
      <t/>
    </r>
  </si>
  <si>
    <t>0,4, 6-10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</si>
  <si>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</si>
  <si>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3</t>
    </r>
  </si>
  <si>
    <t>0,4, 6-20</t>
  </si>
  <si>
    <t>0,4</t>
  </si>
  <si>
    <t>на территории Ленинградской области</t>
  </si>
  <si>
    <t>за 3 предыдущих года по каждому мероприятию на территории Ленинградской области</t>
  </si>
  <si>
    <t>по каждому мероприятию на территории Ленинградской  области</t>
  </si>
  <si>
    <t>Стандартизированная тарифная ставка на покрытие расходов сетевой организации на строительство воздушных линий электропередачи на  уровне напряжения НН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</si>
  <si>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 уровне напряжения СН2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</si>
  <si>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на  уровне напряжения СН2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</si>
  <si>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уровне напряжения СН2/НН</t>
  </si>
  <si>
    <t>СТП 1х25 кВА</t>
  </si>
  <si>
    <t>СТП 1х40 кВА</t>
  </si>
  <si>
    <t>СТП 1х63 кВА</t>
  </si>
  <si>
    <t>СТП 1х100 кВА</t>
  </si>
  <si>
    <t>СТП 1х160 кВА</t>
  </si>
  <si>
    <t>БКТП 1х250 кВА</t>
  </si>
  <si>
    <t>БКТП 1х400 кВА</t>
  </si>
  <si>
    <t>БКТП 1х630 кВА</t>
  </si>
  <si>
    <t>БКТП 1х1000 кВА</t>
  </si>
  <si>
    <t>БКТП 1х1250 кВА</t>
  </si>
  <si>
    <t>БКТП 2х250 кВА</t>
  </si>
  <si>
    <t>БКТП 2х400 кВА</t>
  </si>
  <si>
    <t>БКТП 2х630 кВА</t>
  </si>
  <si>
    <t>БКТП 2х1000 кВА</t>
  </si>
  <si>
    <t>БКТП 2х1250 кВА</t>
  </si>
  <si>
    <t>БКТП 2х1600 кВА</t>
  </si>
  <si>
    <t>в том числе льготная категория &lt;*&gt;</t>
  </si>
  <si>
    <t>в том числе льготная категория &lt;**&gt;</t>
  </si>
  <si>
    <t>в том числе по индивидуальному проекту</t>
  </si>
  <si>
    <t xml:space="preserve">строительство кабельных линий </t>
  </si>
  <si>
    <t>площадь Конституции, д.1, Санкт-Петербург, 196247</t>
  </si>
  <si>
    <t>строительство воздушных линий НН</t>
  </si>
  <si>
    <t>строительство воздушных линий СН2</t>
  </si>
  <si>
    <t xml:space="preserve"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
</t>
  </si>
  <si>
    <t>Приложение 9</t>
  </si>
  <si>
    <t>на _2018 год на территории Ленинградской области</t>
  </si>
  <si>
    <t>35 кВ, 110 кВ</t>
  </si>
  <si>
    <r>
      <t>о поданных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заявках </t>
    </r>
    <r>
      <rPr>
        <sz val="11"/>
        <color theme="1"/>
        <rFont val="Calibri"/>
        <family val="2"/>
        <charset val="204"/>
        <scheme val="minor"/>
      </rPr>
      <t>на технологическое присоединение</t>
    </r>
  </si>
  <si>
    <t>ВЛ-0,4кВ (двухцепное исполнение)</t>
  </si>
  <si>
    <t>ВЛ-0,4кВ (одноцепное исполнение)</t>
  </si>
  <si>
    <t>ВЛ-10кВ (двухцепное исполнение)</t>
  </si>
  <si>
    <t>ВЛ-10кВ (одноцепное исполнение)</t>
  </si>
  <si>
    <t>КЛ-0,4кВ  при 1-й линии в траншее</t>
  </si>
  <si>
    <t>КЛ-0,4кВ  при 2-х линиях в траншее</t>
  </si>
  <si>
    <t>КЛ-10кВ  при 2-х линиях в траншее</t>
  </si>
  <si>
    <t>КЛ-10кВ  при 1-й линии в траншее</t>
  </si>
  <si>
    <t>Прокол методом ГНБ (2 трубы)</t>
  </si>
  <si>
    <t>Стандартизированная тарифная ставка на покрытие расходов сетевой организации на строительство кабельных линий электропередачи методом горизонтально направленного бурения на  уровне напряжения СН2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</si>
  <si>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КТП 1х63 кВА</t>
  </si>
  <si>
    <t>КТП 1х100 кВА</t>
  </si>
  <si>
    <t>КТП 1х160 кВА</t>
  </si>
  <si>
    <t>КТП 1х250 кВА</t>
  </si>
  <si>
    <t>КТП 1х400 кВА</t>
  </si>
  <si>
    <t>КТП 1х630 кВА</t>
  </si>
  <si>
    <t>КТП 1х1000 кВА</t>
  </si>
  <si>
    <t>КТП 2х63 кВА</t>
  </si>
  <si>
    <t>КТП 2х100 кВА</t>
  </si>
  <si>
    <t>КТП 2х160 кВА</t>
  </si>
  <si>
    <t>КТП 2х250 кВА</t>
  </si>
  <si>
    <t>КТП 2х400 кВА</t>
  </si>
  <si>
    <t>КТП 2х630 кВА</t>
  </si>
  <si>
    <t>КТП 2х1000 кВА</t>
  </si>
  <si>
    <t>БКРП-10кВ</t>
  </si>
  <si>
    <t>МТП 1х25 кВА</t>
  </si>
  <si>
    <t>МТП 1х40 кВА</t>
  </si>
  <si>
    <t>МТП 1х63 кВА</t>
  </si>
  <si>
    <t>МТП 1х100 кВА</t>
  </si>
  <si>
    <t>МТП 1х160 кВА</t>
  </si>
  <si>
    <t>МТП 1х250 кВА</t>
  </si>
  <si>
    <t>СТП 1х250 кВА</t>
  </si>
  <si>
    <t>БКРТП 2х1000 кВА</t>
  </si>
  <si>
    <t>БКРТП 2х1250 кВА</t>
  </si>
  <si>
    <t>кВт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</si>
  <si>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5</t>
    </r>
  </si>
  <si>
    <r>
      <t>С</t>
    </r>
    <r>
      <rPr>
        <sz val="8"/>
        <color theme="1"/>
        <rFont val="Calibri"/>
        <family val="2"/>
        <charset val="204"/>
        <scheme val="minor"/>
      </rPr>
      <t>4</t>
    </r>
  </si>
  <si>
    <t>Стандартизированная тарифная ставка на покрытие расходов сетевой организации на строительство распределительных пунктов пропускной способностью от 10 МВА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уровне напряжения СН2</t>
  </si>
  <si>
    <t>6-20кВ</t>
  </si>
  <si>
    <t>руб./шт.</t>
  </si>
  <si>
    <t>Рюмин А.В.</t>
  </si>
  <si>
    <t>ПАО "ленэнерго" на 2019 год на территории Ленинградской области</t>
  </si>
  <si>
    <t>В связи  с вступлением в силу приказа ФАС России от 29.08.2017 №1135/17 "Об утверждении методических указаний по определению размера платы за технологическое присоединение к электрическим сетям" в графе "Стандартизированная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16" указаны стандартизированные тарифные ставки за одно присоединение</t>
  </si>
  <si>
    <t>Примечание:</t>
  </si>
  <si>
    <t>руб./присоединение</t>
  </si>
  <si>
    <t>Примечание в связи  с вступлением в силу приказа ФАС России от 29.08.2017 №1135/17 "Об утверждении методических указаний по определению размера платы за технологическое присоединение к электрическим сетям" :</t>
  </si>
  <si>
    <t xml:space="preserve"> 1.необходимая валовая выручка и объем максимальной мощности приведены за три предыдущих года (2015-2017)  в соответствии с приложением 2 действующих Методических указаний</t>
  </si>
  <si>
    <t xml:space="preserve">2. в строке "Выполнение сетевой организацией мероприятий, связанных со строительством "последней мили"" приведена информация в соответствии с приложением 1 действующих Методических указаний </t>
  </si>
  <si>
    <t>Ожидаемые данные за текущий период (2018)</t>
  </si>
  <si>
    <t>Плановые показатели на следующий период (2019)</t>
  </si>
  <si>
    <t>1.Расчет необходимой валовой выручки на технологическое присоединение за текущий период (2018) и плановый период (2019) в соответствии с действующими Методическими указаниями в адрес органов государственного регулирования не предоставляются.</t>
  </si>
  <si>
    <t xml:space="preserve"> -</t>
  </si>
  <si>
    <t xml:space="preserve">1. Информация приведена в соответствии с приложением  1 действующих Методических указаний </t>
  </si>
  <si>
    <t xml:space="preserve"> за текущий год (2018) на территории Ленинградской области</t>
  </si>
  <si>
    <t>по договорам, заключенным за текущий год (2018) на территории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</si>
</sst>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1"/>
      <color theme="10"/>
      <name val="Calibri"/>
      <family val="2"/>
      <scheme val="minor"/>
    </font>
    <font>
      <vertAlign val="subscript"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25" fillId="0" borderId="0"/>
  </cellStyleXfs>
  <cellXfs count="132">
    <xf numFmtId="0" fontId="0" fillId="0" borderId="0" xfId="0"/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13" fillId="0" borderId="1" xfId="0" applyFont="1" applyBorder="1" applyAlignment="1">
      <alignment horizontal="justify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14" fillId="0" borderId="1" xfId="1" applyBorder="1"/>
    <xf numFmtId="49" fontId="0" fillId="0" borderId="1" xfId="0" applyNumberFormat="1" applyBorder="1"/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3"/>
    </xf>
    <xf numFmtId="0" fontId="11" fillId="0" borderId="1" xfId="0" applyFont="1" applyBorder="1" applyAlignment="1">
      <alignment horizontal="left" vertical="center" wrapText="1" indent="6"/>
    </xf>
    <xf numFmtId="3" fontId="11" fillId="0" borderId="1" xfId="0" applyNumberFormat="1" applyFont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 indent="2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" fontId="0" fillId="0" borderId="1" xfId="0" applyNumberFormat="1" applyFill="1" applyBorder="1" applyAlignment="1">
      <alignment vertical="center"/>
    </xf>
    <xf numFmtId="3" fontId="0" fillId="0" borderId="0" xfId="0" applyNumberFormat="1"/>
    <xf numFmtId="3" fontId="11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4" fontId="11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164" fontId="8" fillId="0" borderId="1" xfId="2" applyNumberFormat="1" applyFont="1" applyFill="1" applyBorder="1" applyAlignment="1">
      <alignment vertical="center" wrapText="1"/>
    </xf>
    <xf numFmtId="164" fontId="3" fillId="0" borderId="1" xfId="2" applyNumberFormat="1" applyFont="1" applyBorder="1" applyAlignment="1">
      <alignment vertical="center" wrapText="1"/>
    </xf>
    <xf numFmtId="165" fontId="3" fillId="0" borderId="1" xfId="2" applyNumberFormat="1" applyFont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6" fillId="0" borderId="9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3" fontId="26" fillId="0" borderId="9" xfId="3" applyNumberFormat="1" applyFont="1" applyFill="1" applyBorder="1" applyAlignment="1">
      <alignment horizontal="center" vertical="top"/>
    </xf>
    <xf numFmtId="3" fontId="26" fillId="0" borderId="10" xfId="3" applyNumberFormat="1" applyFont="1" applyFill="1" applyBorder="1" applyAlignment="1">
      <alignment horizontal="center" vertical="top"/>
    </xf>
    <xf numFmtId="3" fontId="26" fillId="0" borderId="11" xfId="3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3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Eko/1.%20&#1054;&#1069;&#1080;&#1058;&#1055;/&#1055;&#1088;&#1080;&#1089;&#1086;&#1077;&#1076;&#1080;&#1085;&#1077;&#1085;&#1080;&#1103;/&#1058;&#1072;&#1088;&#1080;&#1092;%202019/&#1051;&#1054;/&#1056;&#1072;&#1089;&#1095;&#1077;&#1090;%202019%20&#1051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Eko/1.%20&#1054;&#1069;&#1080;&#1058;&#1055;/&#1055;&#1088;&#1080;&#1089;&#1086;&#1077;&#1076;&#1080;&#1085;&#1077;&#1085;&#1080;&#1103;/&#1058;&#1072;&#1088;&#1080;&#1092;%202019/&#1051;&#1054;/&#1048;&#1085;&#1074;&#1077;&#1089;&#1090;&#1080;&#1094;&#1080;&#1080;%20&#1041;&#1072;&#1081;&#1076;&#1072;&#1082;&#1086;&#1074;%20&#1040;&#1042;%20&#1051;&#105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Eko/3.%20&#1054;&#1060;&#1055;/2019/&#1041;&#1055;2019/&#1041;&#1055;2019_&#1051;&#1054;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pEko/3.%20&#1054;&#1060;&#1055;/2019/&#1041;&#1055;2019/&#1041;&#1055;2019_&#1057;&#1055;&#1073;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2;&#1051;%20&#1080;&#1089;&#1090;&#1086;&#1095;&#1085;&#1080;&#1082;%20%203%20&#1075;&#1086;&#1076;&#1072;%20&#1057;&#1055;&#1073;%20&#1051;&#1054;%202015%20&#1086;&#1078;&#1080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 факт р-ды С1_ЛО"/>
      <sheetName val="прил 3 С1_ЛО"/>
      <sheetName val="АНАЛИЗ "/>
      <sheetName val="с ИПЦ"/>
    </sheetNames>
    <sheetDataSet>
      <sheetData sheetId="0" refreshError="1"/>
      <sheetData sheetId="1" refreshError="1"/>
      <sheetData sheetId="2">
        <row r="5">
          <cell r="B5">
            <v>151149.38256842733</v>
          </cell>
          <cell r="C5">
            <v>160000.04455772808</v>
          </cell>
          <cell r="D5">
            <v>177470.15561242416</v>
          </cell>
        </row>
        <row r="6">
          <cell r="B6">
            <v>146516.89458983301</v>
          </cell>
          <cell r="C6">
            <v>199253.44768263816</v>
          </cell>
          <cell r="D6">
            <v>238031.12999482287</v>
          </cell>
        </row>
        <row r="11">
          <cell r="B11">
            <v>272305.74600000214</v>
          </cell>
          <cell r="C11">
            <v>441142.62899999827</v>
          </cell>
          <cell r="D11">
            <v>519213.31331099622</v>
          </cell>
        </row>
        <row r="12">
          <cell r="B12">
            <v>216576.56350000112</v>
          </cell>
          <cell r="C12">
            <v>473188.53140000126</v>
          </cell>
          <cell r="D12">
            <v>621462.24849999568</v>
          </cell>
        </row>
        <row r="14">
          <cell r="E14">
            <v>9617.5491140356189</v>
          </cell>
        </row>
        <row r="15">
          <cell r="E15">
            <v>32350.741010046222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_ЛО "/>
      <sheetName val="прил 7_ЛО"/>
    </sheetNames>
    <sheetDataSet>
      <sheetData sheetId="0">
        <row r="7">
          <cell r="E7">
            <v>3209.50614</v>
          </cell>
          <cell r="F7">
            <v>584.11000000000013</v>
          </cell>
          <cell r="G7">
            <v>9284773.1458375696</v>
          </cell>
        </row>
        <row r="49">
          <cell r="E49">
            <v>5.22</v>
          </cell>
          <cell r="F49">
            <v>4</v>
          </cell>
          <cell r="G49">
            <v>42491.312460000001</v>
          </cell>
        </row>
        <row r="56">
          <cell r="G56">
            <v>127721.87364000001</v>
          </cell>
        </row>
        <row r="62">
          <cell r="F62">
            <v>1.1499999999999999</v>
          </cell>
          <cell r="G62">
            <v>342410.78198000009</v>
          </cell>
        </row>
        <row r="93">
          <cell r="F93">
            <v>1022.8000000000001</v>
          </cell>
          <cell r="G93">
            <v>5569835.2258504005</v>
          </cell>
        </row>
        <row r="148">
          <cell r="F148">
            <v>1612.0600000000002</v>
          </cell>
          <cell r="G148">
            <v>15367232.33976797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 регл"/>
      <sheetName val="Смета Регл"/>
      <sheetName val="8.ОФР"/>
      <sheetName val="9.Смета затрат"/>
      <sheetName val="9.2.Прочие ДиР"/>
      <sheetName val="10.БДР"/>
      <sheetName val="Лист1"/>
    </sheetNames>
    <sheetDataSet>
      <sheetData sheetId="0">
        <row r="199">
          <cell r="D199">
            <v>49023.603622316543</v>
          </cell>
          <cell r="E199">
            <v>87730.430660841346</v>
          </cell>
        </row>
      </sheetData>
      <sheetData sheetId="1">
        <row r="401">
          <cell r="D401">
            <v>3950.9139580930923</v>
          </cell>
          <cell r="E401">
            <v>2580.2040115419227</v>
          </cell>
        </row>
        <row r="420">
          <cell r="D420">
            <v>45.908966589052426</v>
          </cell>
          <cell r="E420">
            <v>70.525458412102623</v>
          </cell>
        </row>
        <row r="423">
          <cell r="D423">
            <v>2975.6280266750309</v>
          </cell>
          <cell r="E423">
            <v>4663.5992361701283</v>
          </cell>
        </row>
        <row r="427">
          <cell r="D427">
            <v>10527.903055999999</v>
          </cell>
          <cell r="E427">
            <v>13166.258</v>
          </cell>
        </row>
        <row r="450">
          <cell r="D450">
            <v>139350.9641184452</v>
          </cell>
          <cell r="E450">
            <v>164945.56351000001</v>
          </cell>
        </row>
        <row r="454">
          <cell r="D454">
            <v>42390.504055256097</v>
          </cell>
          <cell r="E454">
            <v>50143.451307039999</v>
          </cell>
        </row>
        <row r="458">
          <cell r="D458">
            <v>2472.5860374310432</v>
          </cell>
          <cell r="E458">
            <v>0</v>
          </cell>
        </row>
        <row r="459">
          <cell r="D459">
            <v>45939.848738462155</v>
          </cell>
          <cell r="E459">
            <v>36235.8034669392</v>
          </cell>
        </row>
        <row r="461">
          <cell r="D461">
            <v>14256.285458404109</v>
          </cell>
          <cell r="E461">
            <v>3524.4910023891325</v>
          </cell>
        </row>
        <row r="468">
          <cell r="D468">
            <v>0</v>
          </cell>
        </row>
        <row r="481">
          <cell r="D481">
            <v>2465.6030548995186</v>
          </cell>
          <cell r="E481">
            <v>2629.1607744313887</v>
          </cell>
        </row>
        <row r="488">
          <cell r="D488">
            <v>9083.8011941628956</v>
          </cell>
          <cell r="E488">
            <v>7739.0794250189992</v>
          </cell>
        </row>
        <row r="490">
          <cell r="D490">
            <v>4872.7922584508833</v>
          </cell>
          <cell r="E490">
            <v>6221.4516614658514</v>
          </cell>
        </row>
        <row r="509">
          <cell r="D509">
            <v>24.933882607171391</v>
          </cell>
          <cell r="E50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 регл"/>
      <sheetName val="Смета Регл"/>
      <sheetName val="8.ОФР"/>
      <sheetName val="9.Смета затрат"/>
      <sheetName val="9.2.Прочие ДиР"/>
      <sheetName val="10.БДР"/>
      <sheetName val="Лист1"/>
    </sheetNames>
    <sheetDataSet>
      <sheetData sheetId="0">
        <row r="199">
          <cell r="D199">
            <v>51024.567035472326</v>
          </cell>
        </row>
      </sheetData>
      <sheetData sheetId="1">
        <row r="401">
          <cell r="D401">
            <v>2369.8062051149054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(источник)СПБ отправка"/>
      <sheetName val="прил 6 по ТП Спб"/>
      <sheetName val="прилож 6 источн ЛО"/>
      <sheetName val="Прилож 6 по ТП ЛО"/>
    </sheetNames>
    <sheetDataSet>
      <sheetData sheetId="0">
        <row r="15">
          <cell r="Y15">
            <v>185786</v>
          </cell>
        </row>
      </sheetData>
      <sheetData sheetId="1"/>
      <sheetData sheetId="2">
        <row r="11">
          <cell r="Y11">
            <v>476091.79312380002</v>
          </cell>
        </row>
        <row r="26">
          <cell r="AA26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nenergo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9"/>
  <sheetViews>
    <sheetView workbookViewId="0">
      <selection activeCell="C27" sqref="C27"/>
    </sheetView>
  </sheetViews>
  <sheetFormatPr defaultRowHeight="14.4" x14ac:dyDescent="0.3"/>
  <cols>
    <col min="2" max="2" width="37.5546875" customWidth="1"/>
    <col min="3" max="3" width="74.44140625" customWidth="1"/>
  </cols>
  <sheetData>
    <row r="2" spans="2:3" x14ac:dyDescent="0.3">
      <c r="C2" s="3" t="s">
        <v>10</v>
      </c>
    </row>
    <row r="4" spans="2:3" x14ac:dyDescent="0.3">
      <c r="B4" s="1"/>
    </row>
    <row r="5" spans="2:3" x14ac:dyDescent="0.3">
      <c r="B5" s="73" t="s">
        <v>17</v>
      </c>
      <c r="C5" s="73"/>
    </row>
    <row r="6" spans="2:3" x14ac:dyDescent="0.3">
      <c r="B6" s="73" t="s">
        <v>18</v>
      </c>
      <c r="C6" s="73"/>
    </row>
    <row r="7" spans="2:3" x14ac:dyDescent="0.3">
      <c r="B7" s="73" t="s">
        <v>215</v>
      </c>
      <c r="C7" s="73"/>
    </row>
    <row r="8" spans="2:3" x14ac:dyDescent="0.3">
      <c r="B8" s="73" t="s">
        <v>19</v>
      </c>
      <c r="C8" s="73"/>
    </row>
    <row r="9" spans="2:3" x14ac:dyDescent="0.3">
      <c r="B9" s="2"/>
    </row>
    <row r="10" spans="2:3" x14ac:dyDescent="0.3">
      <c r="B10" s="4" t="s">
        <v>0</v>
      </c>
      <c r="C10" s="5" t="s">
        <v>11</v>
      </c>
    </row>
    <row r="11" spans="2:3" x14ac:dyDescent="0.3">
      <c r="B11" s="4" t="s">
        <v>1</v>
      </c>
      <c r="C11" s="5" t="s">
        <v>12</v>
      </c>
    </row>
    <row r="12" spans="2:3" x14ac:dyDescent="0.3">
      <c r="B12" s="4" t="s">
        <v>2</v>
      </c>
      <c r="C12" s="5" t="s">
        <v>13</v>
      </c>
    </row>
    <row r="13" spans="2:3" x14ac:dyDescent="0.3">
      <c r="B13" s="4" t="s">
        <v>3</v>
      </c>
      <c r="C13" s="5" t="s">
        <v>166</v>
      </c>
    </row>
    <row r="14" spans="2:3" x14ac:dyDescent="0.3">
      <c r="B14" s="4" t="s">
        <v>4</v>
      </c>
      <c r="C14" s="6">
        <v>7803002209</v>
      </c>
    </row>
    <row r="15" spans="2:3" x14ac:dyDescent="0.3">
      <c r="B15" s="4" t="s">
        <v>5</v>
      </c>
      <c r="C15" s="6">
        <v>781001001</v>
      </c>
    </row>
    <row r="16" spans="2:3" x14ac:dyDescent="0.3">
      <c r="B16" s="4" t="s">
        <v>6</v>
      </c>
      <c r="C16" s="5" t="s">
        <v>214</v>
      </c>
    </row>
    <row r="17" spans="2:3" x14ac:dyDescent="0.3">
      <c r="B17" s="4" t="s">
        <v>8</v>
      </c>
      <c r="C17" s="7" t="s">
        <v>14</v>
      </c>
    </row>
    <row r="18" spans="2:3" x14ac:dyDescent="0.3">
      <c r="B18" s="4" t="s">
        <v>7</v>
      </c>
      <c r="C18" s="8" t="s">
        <v>15</v>
      </c>
    </row>
    <row r="19" spans="2:3" x14ac:dyDescent="0.3">
      <c r="B19" s="4" t="s">
        <v>9</v>
      </c>
      <c r="C19" s="8" t="s">
        <v>16</v>
      </c>
    </row>
  </sheetData>
  <mergeCells count="4">
    <mergeCell ref="B5:C5"/>
    <mergeCell ref="B6:C6"/>
    <mergeCell ref="B7:C7"/>
    <mergeCell ref="B8:C8"/>
  </mergeCells>
  <hyperlinks>
    <hyperlink ref="C17" r:id="rId1"/>
  </hyperlinks>
  <pageMargins left="0.70866141732283472" right="0.70866141732283472" top="0.74803149606299213" bottom="0.74803149606299213" header="0.31496062992125984" footer="0.31496062992125984"/>
  <pageSetup paperSize="9" scale="7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tabSelected="1" view="pageBreakPreview" topLeftCell="A75" zoomScale="90" zoomScaleNormal="110" zoomScaleSheetLayoutView="90" workbookViewId="0">
      <selection activeCell="A84" sqref="A84:L84"/>
    </sheetView>
  </sheetViews>
  <sheetFormatPr defaultColWidth="8.88671875" defaultRowHeight="14.4" x14ac:dyDescent="0.3"/>
  <cols>
    <col min="1" max="1" width="8.88671875" style="16"/>
    <col min="2" max="2" width="46.33203125" style="16" customWidth="1"/>
    <col min="3" max="3" width="10.6640625" style="16" customWidth="1"/>
    <col min="4" max="4" width="4.109375" style="16" customWidth="1"/>
    <col min="5" max="5" width="3" style="16" customWidth="1"/>
    <col min="6" max="6" width="2.5546875" style="16" customWidth="1"/>
    <col min="7" max="9" width="5.5546875" style="16" customWidth="1"/>
    <col min="10" max="12" width="5.44140625" style="16" customWidth="1"/>
    <col min="13" max="13" width="7.6640625" style="16" customWidth="1"/>
    <col min="14" max="14" width="8.88671875" style="16" customWidth="1"/>
    <col min="15" max="16384" width="8.88671875" style="16"/>
  </cols>
  <sheetData>
    <row r="1" spans="1:16" x14ac:dyDescent="0.3">
      <c r="L1" s="17" t="s">
        <v>34</v>
      </c>
      <c r="M1" s="17"/>
      <c r="N1" s="17"/>
    </row>
    <row r="2" spans="1:16" x14ac:dyDescent="0.3">
      <c r="B2" s="88" t="s">
        <v>20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58"/>
      <c r="N2" s="58"/>
    </row>
    <row r="3" spans="1:16" x14ac:dyDescent="0.3">
      <c r="B3" s="88" t="s">
        <v>21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58"/>
      <c r="N3" s="58"/>
    </row>
    <row r="4" spans="1:16" x14ac:dyDescent="0.3">
      <c r="B4" s="88" t="s">
        <v>22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58"/>
      <c r="N4" s="58"/>
    </row>
    <row r="5" spans="1:16" x14ac:dyDescent="0.3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58"/>
      <c r="N5" s="58"/>
    </row>
    <row r="6" spans="1:16" x14ac:dyDescent="0.3">
      <c r="B6" s="88" t="s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58"/>
      <c r="N6" s="58"/>
    </row>
    <row r="7" spans="1:16" x14ac:dyDescent="0.3">
      <c r="B7" s="89" t="s">
        <v>12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59"/>
      <c r="N7" s="59"/>
    </row>
    <row r="8" spans="1:16" x14ac:dyDescent="0.3">
      <c r="B8" s="88" t="s">
        <v>19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58"/>
      <c r="N8" s="58"/>
    </row>
    <row r="9" spans="1:16" x14ac:dyDescent="0.3">
      <c r="B9" s="89" t="s">
        <v>171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59"/>
      <c r="N9" s="59"/>
    </row>
    <row r="12" spans="1:16" ht="28.95" customHeight="1" x14ac:dyDescent="0.3">
      <c r="A12" s="95" t="s">
        <v>25</v>
      </c>
      <c r="B12" s="95"/>
      <c r="C12" s="96" t="s">
        <v>129</v>
      </c>
      <c r="D12" s="96" t="s">
        <v>26</v>
      </c>
      <c r="E12" s="96"/>
      <c r="F12" s="96"/>
      <c r="G12" s="92" t="s">
        <v>27</v>
      </c>
      <c r="H12" s="92"/>
      <c r="I12" s="92"/>
      <c r="J12" s="92"/>
      <c r="K12" s="92"/>
      <c r="L12" s="92"/>
      <c r="M12" s="64"/>
      <c r="N12" s="64"/>
      <c r="O12" s="90"/>
      <c r="P12" s="91"/>
    </row>
    <row r="13" spans="1:16" ht="46.95" customHeight="1" x14ac:dyDescent="0.3">
      <c r="A13" s="95"/>
      <c r="B13" s="95"/>
      <c r="C13" s="96"/>
      <c r="D13" s="96"/>
      <c r="E13" s="96"/>
      <c r="F13" s="96"/>
      <c r="G13" s="92" t="s">
        <v>28</v>
      </c>
      <c r="H13" s="92"/>
      <c r="I13" s="92"/>
      <c r="J13" s="92" t="s">
        <v>29</v>
      </c>
      <c r="K13" s="92"/>
      <c r="L13" s="92"/>
      <c r="M13" s="64"/>
      <c r="N13" s="64"/>
      <c r="O13" s="18"/>
      <c r="P13" s="18"/>
    </row>
    <row r="14" spans="1:16" ht="165.6" x14ac:dyDescent="0.3">
      <c r="A14" s="19" t="s">
        <v>121</v>
      </c>
      <c r="B14" s="20" t="s">
        <v>131</v>
      </c>
      <c r="C14" s="76" t="s">
        <v>134</v>
      </c>
      <c r="D14" s="76" t="s">
        <v>218</v>
      </c>
      <c r="E14" s="76"/>
      <c r="F14" s="76"/>
      <c r="G14" s="82">
        <f>G15+G16+G17+G18</f>
        <v>41968.290124081839</v>
      </c>
      <c r="H14" s="76"/>
      <c r="I14" s="76"/>
      <c r="J14" s="82">
        <f>J15+J16+J17+J18</f>
        <v>41968.290124081839</v>
      </c>
      <c r="K14" s="76"/>
      <c r="L14" s="76"/>
      <c r="M14" s="65"/>
      <c r="N14" s="65"/>
    </row>
    <row r="15" spans="1:16" ht="41.4" x14ac:dyDescent="0.3">
      <c r="A15" s="19" t="s">
        <v>122</v>
      </c>
      <c r="B15" s="21" t="s">
        <v>30</v>
      </c>
      <c r="C15" s="76"/>
      <c r="D15" s="76" t="s">
        <v>124</v>
      </c>
      <c r="E15" s="76"/>
      <c r="F15" s="76"/>
      <c r="G15" s="82">
        <f>'[1]АНАЛИЗ '!$E$14</f>
        <v>9617.5491140356189</v>
      </c>
      <c r="H15" s="76"/>
      <c r="I15" s="76"/>
      <c r="J15" s="82">
        <f>G15</f>
        <v>9617.5491140356189</v>
      </c>
      <c r="K15" s="82"/>
      <c r="L15" s="82"/>
      <c r="M15" s="65"/>
      <c r="N15" s="65"/>
    </row>
    <row r="16" spans="1:16" ht="55.2" x14ac:dyDescent="0.3">
      <c r="A16" s="19" t="s">
        <v>123</v>
      </c>
      <c r="B16" s="21" t="s">
        <v>31</v>
      </c>
      <c r="C16" s="76"/>
      <c r="D16" s="76"/>
      <c r="E16" s="76"/>
      <c r="F16" s="76"/>
      <c r="G16" s="82"/>
      <c r="H16" s="76"/>
      <c r="I16" s="76"/>
      <c r="J16" s="82"/>
      <c r="K16" s="82"/>
      <c r="L16" s="82"/>
      <c r="M16" s="65"/>
      <c r="N16" s="65"/>
    </row>
    <row r="17" spans="1:14" ht="69" x14ac:dyDescent="0.3">
      <c r="A17" s="19" t="s">
        <v>132</v>
      </c>
      <c r="B17" s="21" t="s">
        <v>32</v>
      </c>
      <c r="C17" s="76"/>
      <c r="D17" s="76"/>
      <c r="E17" s="76"/>
      <c r="F17" s="76"/>
      <c r="G17" s="82"/>
      <c r="H17" s="76"/>
      <c r="I17" s="76"/>
      <c r="J17" s="82"/>
      <c r="K17" s="82"/>
      <c r="L17" s="82"/>
      <c r="M17" s="65"/>
      <c r="N17" s="65"/>
    </row>
    <row r="18" spans="1:14" ht="96.6" x14ac:dyDescent="0.3">
      <c r="A18" s="19" t="s">
        <v>133</v>
      </c>
      <c r="B18" s="21" t="s">
        <v>33</v>
      </c>
      <c r="C18" s="76"/>
      <c r="D18" s="76" t="s">
        <v>218</v>
      </c>
      <c r="E18" s="76"/>
      <c r="F18" s="76"/>
      <c r="G18" s="82">
        <f>'[1]АНАЛИЗ '!$E$15</f>
        <v>32350.741010046222</v>
      </c>
      <c r="H18" s="76"/>
      <c r="I18" s="76"/>
      <c r="J18" s="82">
        <f>G18</f>
        <v>32350.741010046222</v>
      </c>
      <c r="K18" s="82"/>
      <c r="L18" s="82"/>
      <c r="M18" s="65"/>
      <c r="N18" s="65"/>
    </row>
    <row r="19" spans="1:14" ht="124.2" x14ac:dyDescent="0.3">
      <c r="A19" s="86" t="s">
        <v>135</v>
      </c>
      <c r="B19" s="20" t="s">
        <v>142</v>
      </c>
      <c r="C19" s="87" t="s">
        <v>138</v>
      </c>
      <c r="D19" s="76" t="s">
        <v>127</v>
      </c>
      <c r="E19" s="76"/>
      <c r="F19" s="76"/>
      <c r="G19" s="76" t="s">
        <v>125</v>
      </c>
      <c r="H19" s="76"/>
      <c r="I19" s="76"/>
      <c r="J19" s="76" t="str">
        <f t="shared" ref="J19:J34" si="0">G19</f>
        <v>х</v>
      </c>
      <c r="K19" s="76"/>
      <c r="L19" s="76"/>
      <c r="M19" s="57"/>
      <c r="N19" s="57"/>
    </row>
    <row r="20" spans="1:14" ht="15.6" customHeight="1" x14ac:dyDescent="0.3">
      <c r="A20" s="86"/>
      <c r="B20" s="20" t="s">
        <v>126</v>
      </c>
      <c r="C20" s="87"/>
      <c r="D20" s="76"/>
      <c r="E20" s="76"/>
      <c r="F20" s="76"/>
      <c r="G20" s="76" t="s">
        <v>125</v>
      </c>
      <c r="H20" s="76"/>
      <c r="I20" s="76"/>
      <c r="J20" s="76" t="str">
        <f t="shared" si="0"/>
        <v>х</v>
      </c>
      <c r="K20" s="76"/>
      <c r="L20" s="76"/>
      <c r="M20" s="57"/>
      <c r="N20" s="57"/>
    </row>
    <row r="21" spans="1:14" ht="15.6" customHeight="1" x14ac:dyDescent="0.3">
      <c r="A21" s="86"/>
      <c r="B21" s="22" t="s">
        <v>174</v>
      </c>
      <c r="C21" s="87"/>
      <c r="D21" s="76"/>
      <c r="E21" s="76"/>
      <c r="F21" s="76"/>
      <c r="G21" s="81">
        <f>2701455/1.18</f>
        <v>2289368.6440677969</v>
      </c>
      <c r="H21" s="81"/>
      <c r="I21" s="81"/>
      <c r="J21" s="82">
        <f t="shared" si="0"/>
        <v>2289368.6440677969</v>
      </c>
      <c r="K21" s="82"/>
      <c r="L21" s="82"/>
      <c r="M21" s="65"/>
      <c r="N21" s="65"/>
    </row>
    <row r="22" spans="1:14" ht="15.6" customHeight="1" x14ac:dyDescent="0.3">
      <c r="A22" s="86"/>
      <c r="B22" s="22" t="s">
        <v>175</v>
      </c>
      <c r="C22" s="87"/>
      <c r="D22" s="76"/>
      <c r="E22" s="76"/>
      <c r="F22" s="76"/>
      <c r="G22" s="81">
        <f>1884263/1.18</f>
        <v>1596833.0508474577</v>
      </c>
      <c r="H22" s="81"/>
      <c r="I22" s="81"/>
      <c r="J22" s="82">
        <f t="shared" si="0"/>
        <v>1596833.0508474577</v>
      </c>
      <c r="K22" s="82"/>
      <c r="L22" s="82"/>
      <c r="M22" s="65"/>
      <c r="N22" s="65"/>
    </row>
    <row r="23" spans="1:14" ht="124.2" x14ac:dyDescent="0.3">
      <c r="A23" s="86" t="s">
        <v>135</v>
      </c>
      <c r="B23" s="20" t="s">
        <v>144</v>
      </c>
      <c r="C23" s="87" t="s">
        <v>130</v>
      </c>
      <c r="D23" s="76" t="s">
        <v>127</v>
      </c>
      <c r="E23" s="76"/>
      <c r="F23" s="76"/>
      <c r="G23" s="76" t="s">
        <v>125</v>
      </c>
      <c r="H23" s="76"/>
      <c r="I23" s="76"/>
      <c r="J23" s="76" t="str">
        <f t="shared" si="0"/>
        <v>х</v>
      </c>
      <c r="K23" s="76"/>
      <c r="L23" s="76"/>
      <c r="M23" s="57"/>
      <c r="N23" s="57"/>
    </row>
    <row r="24" spans="1:14" x14ac:dyDescent="0.3">
      <c r="A24" s="86"/>
      <c r="B24" s="20" t="s">
        <v>126</v>
      </c>
      <c r="C24" s="87"/>
      <c r="D24" s="76"/>
      <c r="E24" s="76"/>
      <c r="F24" s="76"/>
      <c r="G24" s="76" t="s">
        <v>125</v>
      </c>
      <c r="H24" s="76"/>
      <c r="I24" s="76"/>
      <c r="J24" s="76" t="str">
        <f t="shared" si="0"/>
        <v>х</v>
      </c>
      <c r="K24" s="76"/>
      <c r="L24" s="76"/>
      <c r="M24" s="57"/>
      <c r="N24" s="57"/>
    </row>
    <row r="25" spans="1:14" x14ac:dyDescent="0.3">
      <c r="A25" s="86"/>
      <c r="B25" s="22" t="s">
        <v>176</v>
      </c>
      <c r="C25" s="87"/>
      <c r="D25" s="76"/>
      <c r="E25" s="76"/>
      <c r="F25" s="76"/>
      <c r="G25" s="81">
        <f>2807865/1.18</f>
        <v>2379546.6101694917</v>
      </c>
      <c r="H25" s="81"/>
      <c r="I25" s="81"/>
      <c r="J25" s="82">
        <f t="shared" si="0"/>
        <v>2379546.6101694917</v>
      </c>
      <c r="K25" s="82"/>
      <c r="L25" s="82"/>
      <c r="M25" s="65"/>
      <c r="N25" s="65"/>
    </row>
    <row r="26" spans="1:14" x14ac:dyDescent="0.3">
      <c r="A26" s="86"/>
      <c r="B26" s="22" t="s">
        <v>177</v>
      </c>
      <c r="C26" s="87"/>
      <c r="D26" s="76"/>
      <c r="E26" s="76"/>
      <c r="F26" s="76"/>
      <c r="G26" s="81">
        <f>2356365/1.18</f>
        <v>1996919.4915254239</v>
      </c>
      <c r="H26" s="81"/>
      <c r="I26" s="81"/>
      <c r="J26" s="82">
        <f t="shared" si="0"/>
        <v>1996919.4915254239</v>
      </c>
      <c r="K26" s="82"/>
      <c r="L26" s="82"/>
      <c r="M26" s="65"/>
      <c r="N26" s="65"/>
    </row>
    <row r="27" spans="1:14" ht="124.2" x14ac:dyDescent="0.3">
      <c r="A27" s="86" t="s">
        <v>136</v>
      </c>
      <c r="B27" s="20" t="s">
        <v>120</v>
      </c>
      <c r="C27" s="76">
        <v>0.4</v>
      </c>
      <c r="D27" s="76" t="s">
        <v>127</v>
      </c>
      <c r="E27" s="76"/>
      <c r="F27" s="76"/>
      <c r="G27" s="76" t="s">
        <v>125</v>
      </c>
      <c r="H27" s="76"/>
      <c r="I27" s="76"/>
      <c r="J27" s="76" t="str">
        <f t="shared" si="0"/>
        <v>х</v>
      </c>
      <c r="K27" s="76"/>
      <c r="L27" s="76"/>
      <c r="M27" s="57"/>
      <c r="N27" s="57"/>
    </row>
    <row r="28" spans="1:14" x14ac:dyDescent="0.3">
      <c r="A28" s="86"/>
      <c r="B28" s="20" t="s">
        <v>126</v>
      </c>
      <c r="C28" s="76"/>
      <c r="D28" s="76"/>
      <c r="E28" s="76"/>
      <c r="F28" s="76"/>
      <c r="G28" s="76" t="s">
        <v>125</v>
      </c>
      <c r="H28" s="76"/>
      <c r="I28" s="76"/>
      <c r="J28" s="76" t="str">
        <f t="shared" si="0"/>
        <v>х</v>
      </c>
      <c r="K28" s="76"/>
      <c r="L28" s="76"/>
      <c r="M28" s="57"/>
      <c r="N28" s="57"/>
    </row>
    <row r="29" spans="1:14" x14ac:dyDescent="0.3">
      <c r="A29" s="86"/>
      <c r="B29" s="22" t="s">
        <v>178</v>
      </c>
      <c r="C29" s="76"/>
      <c r="D29" s="76"/>
      <c r="E29" s="76"/>
      <c r="F29" s="76"/>
      <c r="G29" s="81">
        <f>4348302/1.18</f>
        <v>3685001.6949152546</v>
      </c>
      <c r="H29" s="81"/>
      <c r="I29" s="81"/>
      <c r="J29" s="81">
        <f t="shared" si="0"/>
        <v>3685001.6949152546</v>
      </c>
      <c r="K29" s="81"/>
      <c r="L29" s="81"/>
      <c r="M29" s="65"/>
      <c r="N29" s="65"/>
    </row>
    <row r="30" spans="1:14" x14ac:dyDescent="0.3">
      <c r="A30" s="86"/>
      <c r="B30" s="22" t="s">
        <v>179</v>
      </c>
      <c r="C30" s="76"/>
      <c r="D30" s="76"/>
      <c r="E30" s="76"/>
      <c r="F30" s="76"/>
      <c r="G30" s="81">
        <f>6144500/1.18</f>
        <v>5207203.3898305092</v>
      </c>
      <c r="H30" s="81"/>
      <c r="I30" s="81"/>
      <c r="J30" s="81">
        <f t="shared" si="0"/>
        <v>5207203.3898305092</v>
      </c>
      <c r="K30" s="81"/>
      <c r="L30" s="81"/>
      <c r="M30" s="65"/>
      <c r="N30" s="65"/>
    </row>
    <row r="31" spans="1:14" ht="124.2" x14ac:dyDescent="0.3">
      <c r="A31" s="93" t="s">
        <v>136</v>
      </c>
      <c r="B31" s="20" t="s">
        <v>143</v>
      </c>
      <c r="C31" s="106" t="s">
        <v>130</v>
      </c>
      <c r="D31" s="97" t="s">
        <v>127</v>
      </c>
      <c r="E31" s="98"/>
      <c r="F31" s="99"/>
      <c r="G31" s="76" t="s">
        <v>125</v>
      </c>
      <c r="H31" s="76"/>
      <c r="I31" s="76"/>
      <c r="J31" s="76" t="str">
        <f t="shared" si="0"/>
        <v>х</v>
      </c>
      <c r="K31" s="76"/>
      <c r="L31" s="76"/>
      <c r="M31" s="57"/>
      <c r="N31" s="57"/>
    </row>
    <row r="32" spans="1:14" x14ac:dyDescent="0.3">
      <c r="A32" s="94"/>
      <c r="B32" s="20" t="s">
        <v>126</v>
      </c>
      <c r="C32" s="107"/>
      <c r="D32" s="100"/>
      <c r="E32" s="101"/>
      <c r="F32" s="102"/>
      <c r="G32" s="76" t="s">
        <v>125</v>
      </c>
      <c r="H32" s="76"/>
      <c r="I32" s="76"/>
      <c r="J32" s="76" t="str">
        <f t="shared" si="0"/>
        <v>х</v>
      </c>
      <c r="K32" s="76"/>
      <c r="L32" s="76"/>
      <c r="M32" s="57"/>
      <c r="N32" s="57"/>
    </row>
    <row r="33" spans="1:17" x14ac:dyDescent="0.3">
      <c r="A33" s="94"/>
      <c r="B33" s="22" t="s">
        <v>181</v>
      </c>
      <c r="C33" s="107"/>
      <c r="D33" s="100"/>
      <c r="E33" s="101"/>
      <c r="F33" s="102"/>
      <c r="G33" s="81">
        <f>4236598/1.18</f>
        <v>3590337.2881355933</v>
      </c>
      <c r="H33" s="81"/>
      <c r="I33" s="81"/>
      <c r="J33" s="81">
        <f t="shared" si="0"/>
        <v>3590337.2881355933</v>
      </c>
      <c r="K33" s="81"/>
      <c r="L33" s="81"/>
      <c r="M33" s="65"/>
      <c r="N33" s="65"/>
    </row>
    <row r="34" spans="1:17" x14ac:dyDescent="0.3">
      <c r="A34" s="94"/>
      <c r="B34" s="22" t="s">
        <v>180</v>
      </c>
      <c r="C34" s="107"/>
      <c r="D34" s="100"/>
      <c r="E34" s="101"/>
      <c r="F34" s="102"/>
      <c r="G34" s="81">
        <f>7494534/1.18</f>
        <v>6351300</v>
      </c>
      <c r="H34" s="81"/>
      <c r="I34" s="81"/>
      <c r="J34" s="81">
        <f t="shared" si="0"/>
        <v>6351300</v>
      </c>
      <c r="K34" s="81"/>
      <c r="L34" s="81"/>
      <c r="M34" s="65"/>
      <c r="N34" s="65"/>
    </row>
    <row r="35" spans="1:17" ht="131.25" customHeight="1" x14ac:dyDescent="0.3">
      <c r="A35" s="93" t="s">
        <v>136</v>
      </c>
      <c r="B35" s="20" t="s">
        <v>183</v>
      </c>
      <c r="C35" s="106" t="s">
        <v>130</v>
      </c>
      <c r="D35" s="97" t="s">
        <v>127</v>
      </c>
      <c r="E35" s="98"/>
      <c r="F35" s="99"/>
      <c r="G35" s="76" t="s">
        <v>125</v>
      </c>
      <c r="H35" s="76"/>
      <c r="I35" s="76"/>
      <c r="J35" s="76" t="str">
        <f t="shared" ref="J35:J37" si="1">G35</f>
        <v>х</v>
      </c>
      <c r="K35" s="76"/>
      <c r="L35" s="76"/>
      <c r="M35" s="57"/>
      <c r="N35" s="57"/>
    </row>
    <row r="36" spans="1:17" x14ac:dyDescent="0.3">
      <c r="A36" s="94"/>
      <c r="B36" s="20" t="s">
        <v>126</v>
      </c>
      <c r="C36" s="107"/>
      <c r="D36" s="100"/>
      <c r="E36" s="101"/>
      <c r="F36" s="102"/>
      <c r="G36" s="76" t="s">
        <v>125</v>
      </c>
      <c r="H36" s="76"/>
      <c r="I36" s="76"/>
      <c r="J36" s="76" t="str">
        <f t="shared" si="1"/>
        <v>х</v>
      </c>
      <c r="K36" s="76"/>
      <c r="L36" s="76"/>
      <c r="M36" s="57"/>
      <c r="N36" s="57"/>
    </row>
    <row r="37" spans="1:17" x14ac:dyDescent="0.3">
      <c r="A37" s="94"/>
      <c r="B37" s="22" t="s">
        <v>182</v>
      </c>
      <c r="C37" s="107"/>
      <c r="D37" s="100"/>
      <c r="E37" s="101"/>
      <c r="F37" s="102"/>
      <c r="G37" s="81">
        <f>21926816/1.18</f>
        <v>18582047.457627121</v>
      </c>
      <c r="H37" s="81"/>
      <c r="I37" s="81"/>
      <c r="J37" s="81">
        <f t="shared" si="1"/>
        <v>18582047.457627121</v>
      </c>
      <c r="K37" s="81"/>
      <c r="L37" s="81"/>
      <c r="M37" s="65"/>
      <c r="N37" s="65"/>
    </row>
    <row r="38" spans="1:17" ht="96" customHeight="1" x14ac:dyDescent="0.3">
      <c r="A38" s="93" t="s">
        <v>209</v>
      </c>
      <c r="B38" s="23" t="s">
        <v>145</v>
      </c>
      <c r="C38" s="109" t="s">
        <v>137</v>
      </c>
      <c r="D38" s="97" t="s">
        <v>128</v>
      </c>
      <c r="E38" s="98"/>
      <c r="F38" s="99"/>
      <c r="G38" s="75" t="s">
        <v>125</v>
      </c>
      <c r="H38" s="76"/>
      <c r="I38" s="76"/>
      <c r="J38" s="76" t="s">
        <v>125</v>
      </c>
      <c r="K38" s="76"/>
      <c r="L38" s="76"/>
      <c r="M38" s="57"/>
      <c r="N38" s="57"/>
    </row>
    <row r="39" spans="1:17" x14ac:dyDescent="0.3">
      <c r="A39" s="94"/>
      <c r="B39" s="23" t="s">
        <v>126</v>
      </c>
      <c r="C39" s="110"/>
      <c r="D39" s="100"/>
      <c r="E39" s="101"/>
      <c r="F39" s="102"/>
      <c r="G39" s="75" t="s">
        <v>125</v>
      </c>
      <c r="H39" s="76"/>
      <c r="I39" s="76"/>
      <c r="J39" s="76" t="s">
        <v>125</v>
      </c>
      <c r="K39" s="76"/>
      <c r="L39" s="76"/>
      <c r="M39" s="57"/>
      <c r="N39" s="57"/>
      <c r="O39" s="63"/>
      <c r="P39" s="63"/>
      <c r="Q39" s="63" t="s">
        <v>208</v>
      </c>
    </row>
    <row r="40" spans="1:17" x14ac:dyDescent="0.3">
      <c r="A40" s="94"/>
      <c r="B40" s="60" t="s">
        <v>199</v>
      </c>
      <c r="C40" s="110"/>
      <c r="D40" s="100"/>
      <c r="E40" s="101"/>
      <c r="F40" s="102"/>
      <c r="G40" s="77">
        <f>202695/1.18/Q40</f>
        <v>7309.5924990984495</v>
      </c>
      <c r="H40" s="78"/>
      <c r="I40" s="79"/>
      <c r="J40" s="80">
        <f>G40</f>
        <v>7309.5924990984495</v>
      </c>
      <c r="K40" s="80"/>
      <c r="L40" s="80"/>
      <c r="M40" s="66"/>
      <c r="N40" s="66"/>
      <c r="O40" s="16">
        <v>1</v>
      </c>
      <c r="P40" s="16">
        <v>25</v>
      </c>
      <c r="Q40" s="16">
        <f>O40*P40*0.94</f>
        <v>23.5</v>
      </c>
    </row>
    <row r="41" spans="1:17" x14ac:dyDescent="0.3">
      <c r="A41" s="94"/>
      <c r="B41" s="60" t="s">
        <v>200</v>
      </c>
      <c r="C41" s="110"/>
      <c r="D41" s="100"/>
      <c r="E41" s="101"/>
      <c r="F41" s="102"/>
      <c r="G41" s="83">
        <f>324599/1.18/Q41</f>
        <v>7316.0611251352348</v>
      </c>
      <c r="H41" s="84"/>
      <c r="I41" s="85"/>
      <c r="J41" s="80">
        <f t="shared" ref="J41:J76" si="2">G41</f>
        <v>7316.0611251352348</v>
      </c>
      <c r="K41" s="80"/>
      <c r="L41" s="80"/>
      <c r="M41" s="66"/>
      <c r="N41" s="66"/>
      <c r="O41" s="16">
        <v>1</v>
      </c>
      <c r="P41" s="16">
        <v>40</v>
      </c>
      <c r="Q41" s="16">
        <f t="shared" ref="Q41:Q78" si="3">O41*P41*0.94</f>
        <v>37.599999999999994</v>
      </c>
    </row>
    <row r="42" spans="1:17" x14ac:dyDescent="0.3">
      <c r="A42" s="94"/>
      <c r="B42" s="60" t="s">
        <v>201</v>
      </c>
      <c r="C42" s="110"/>
      <c r="D42" s="100"/>
      <c r="E42" s="101"/>
      <c r="F42" s="102"/>
      <c r="G42" s="83">
        <f>497978/1.18/Q42</f>
        <v>7126.2285416630893</v>
      </c>
      <c r="H42" s="84"/>
      <c r="I42" s="85"/>
      <c r="J42" s="80">
        <f t="shared" si="2"/>
        <v>7126.2285416630893</v>
      </c>
      <c r="K42" s="80"/>
      <c r="L42" s="80"/>
      <c r="M42" s="66"/>
      <c r="N42" s="66"/>
      <c r="O42" s="16">
        <v>1</v>
      </c>
      <c r="P42" s="16">
        <v>63</v>
      </c>
      <c r="Q42" s="16">
        <f t="shared" si="3"/>
        <v>59.22</v>
      </c>
    </row>
    <row r="43" spans="1:17" x14ac:dyDescent="0.3">
      <c r="A43" s="94"/>
      <c r="B43" s="60" t="s">
        <v>202</v>
      </c>
      <c r="C43" s="110"/>
      <c r="D43" s="100"/>
      <c r="E43" s="101"/>
      <c r="F43" s="102"/>
      <c r="G43" s="83">
        <f>803884/1.18/Q43</f>
        <v>7247.4215650919587</v>
      </c>
      <c r="H43" s="84"/>
      <c r="I43" s="85"/>
      <c r="J43" s="80">
        <f t="shared" si="2"/>
        <v>7247.4215650919587</v>
      </c>
      <c r="K43" s="80"/>
      <c r="L43" s="80"/>
      <c r="M43" s="66"/>
      <c r="N43" s="66"/>
      <c r="O43" s="16">
        <v>1</v>
      </c>
      <c r="P43" s="16">
        <v>100</v>
      </c>
      <c r="Q43" s="16">
        <f t="shared" si="3"/>
        <v>94</v>
      </c>
    </row>
    <row r="44" spans="1:17" x14ac:dyDescent="0.3">
      <c r="A44" s="94"/>
      <c r="B44" s="60" t="s">
        <v>203</v>
      </c>
      <c r="C44" s="110"/>
      <c r="D44" s="100"/>
      <c r="E44" s="101"/>
      <c r="F44" s="102"/>
      <c r="G44" s="83">
        <f>1230081/1.18/Q44</f>
        <v>6931.1271637216023</v>
      </c>
      <c r="H44" s="84"/>
      <c r="I44" s="85"/>
      <c r="J44" s="80">
        <f t="shared" si="2"/>
        <v>6931.1271637216023</v>
      </c>
      <c r="K44" s="80"/>
      <c r="L44" s="80"/>
      <c r="M44" s="66"/>
      <c r="N44" s="66"/>
      <c r="O44" s="16">
        <v>1</v>
      </c>
      <c r="P44" s="16">
        <v>160</v>
      </c>
      <c r="Q44" s="16">
        <f t="shared" si="3"/>
        <v>150.39999999999998</v>
      </c>
    </row>
    <row r="45" spans="1:17" x14ac:dyDescent="0.3">
      <c r="A45" s="94"/>
      <c r="B45" s="60" t="s">
        <v>204</v>
      </c>
      <c r="C45" s="110"/>
      <c r="D45" s="100"/>
      <c r="E45" s="101"/>
      <c r="F45" s="102"/>
      <c r="G45" s="83">
        <f>2105580/1.18/Q45</f>
        <v>7593.1482149296799</v>
      </c>
      <c r="H45" s="84"/>
      <c r="I45" s="85"/>
      <c r="J45" s="80">
        <f t="shared" si="2"/>
        <v>7593.1482149296799</v>
      </c>
      <c r="K45" s="80"/>
      <c r="L45" s="80"/>
      <c r="M45" s="66"/>
      <c r="N45" s="66"/>
      <c r="O45" s="16">
        <v>1</v>
      </c>
      <c r="P45" s="16">
        <v>250</v>
      </c>
      <c r="Q45" s="16">
        <f t="shared" si="3"/>
        <v>235</v>
      </c>
    </row>
    <row r="46" spans="1:17" x14ac:dyDescent="0.3">
      <c r="A46" s="94"/>
      <c r="B46" s="60" t="s">
        <v>146</v>
      </c>
      <c r="C46" s="110"/>
      <c r="D46" s="100"/>
      <c r="E46" s="101"/>
      <c r="F46" s="102"/>
      <c r="G46" s="83">
        <f>190361/1.18/Q46</f>
        <v>6864.8034619545624</v>
      </c>
      <c r="H46" s="84"/>
      <c r="I46" s="85"/>
      <c r="J46" s="80">
        <f t="shared" si="2"/>
        <v>6864.8034619545624</v>
      </c>
      <c r="K46" s="80"/>
      <c r="L46" s="80"/>
      <c r="M46" s="66"/>
      <c r="N46" s="66"/>
      <c r="O46" s="16">
        <v>1</v>
      </c>
      <c r="P46" s="16">
        <v>25</v>
      </c>
      <c r="Q46" s="16">
        <f t="shared" si="3"/>
        <v>23.5</v>
      </c>
    </row>
    <row r="47" spans="1:17" x14ac:dyDescent="0.3">
      <c r="A47" s="94"/>
      <c r="B47" s="60" t="s">
        <v>147</v>
      </c>
      <c r="C47" s="110"/>
      <c r="D47" s="100"/>
      <c r="E47" s="101"/>
      <c r="F47" s="102"/>
      <c r="G47" s="83">
        <f>303899/1.18/Q47</f>
        <v>6849.5086548864065</v>
      </c>
      <c r="H47" s="84"/>
      <c r="I47" s="85"/>
      <c r="J47" s="80">
        <f t="shared" si="2"/>
        <v>6849.5086548864065</v>
      </c>
      <c r="K47" s="80"/>
      <c r="L47" s="80"/>
      <c r="M47" s="66"/>
      <c r="N47" s="66"/>
      <c r="O47" s="16">
        <v>1</v>
      </c>
      <c r="P47" s="16">
        <v>40</v>
      </c>
      <c r="Q47" s="16">
        <f t="shared" si="3"/>
        <v>37.599999999999994</v>
      </c>
    </row>
    <row r="48" spans="1:17" x14ac:dyDescent="0.3">
      <c r="A48" s="94"/>
      <c r="B48" s="60" t="s">
        <v>148</v>
      </c>
      <c r="C48" s="110"/>
      <c r="D48" s="100"/>
      <c r="E48" s="101"/>
      <c r="F48" s="102"/>
      <c r="G48" s="83">
        <f>489779/1.18/Q48</f>
        <v>7008.8981619814658</v>
      </c>
      <c r="H48" s="84"/>
      <c r="I48" s="85"/>
      <c r="J48" s="80">
        <f t="shared" si="2"/>
        <v>7008.8981619814658</v>
      </c>
      <c r="K48" s="80"/>
      <c r="L48" s="80"/>
      <c r="M48" s="66"/>
      <c r="N48" s="66"/>
      <c r="O48" s="16">
        <v>1</v>
      </c>
      <c r="P48" s="16">
        <v>63</v>
      </c>
      <c r="Q48" s="16">
        <f t="shared" si="3"/>
        <v>59.22</v>
      </c>
    </row>
    <row r="49" spans="1:17" x14ac:dyDescent="0.3">
      <c r="A49" s="94"/>
      <c r="B49" s="60" t="s">
        <v>149</v>
      </c>
      <c r="C49" s="110"/>
      <c r="D49" s="100"/>
      <c r="E49" s="101"/>
      <c r="F49" s="102"/>
      <c r="G49" s="83">
        <f>781482/1.18/Q49</f>
        <v>7045.4561846375764</v>
      </c>
      <c r="H49" s="84"/>
      <c r="I49" s="85"/>
      <c r="J49" s="80">
        <f t="shared" si="2"/>
        <v>7045.4561846375764</v>
      </c>
      <c r="K49" s="80"/>
      <c r="L49" s="80"/>
      <c r="M49" s="66"/>
      <c r="N49" s="66"/>
      <c r="O49" s="16">
        <v>1</v>
      </c>
      <c r="P49" s="16">
        <v>100</v>
      </c>
      <c r="Q49" s="16">
        <f t="shared" si="3"/>
        <v>94</v>
      </c>
    </row>
    <row r="50" spans="1:17" x14ac:dyDescent="0.3">
      <c r="A50" s="94"/>
      <c r="B50" s="60" t="s">
        <v>150</v>
      </c>
      <c r="C50" s="110"/>
      <c r="D50" s="100"/>
      <c r="E50" s="101"/>
      <c r="F50" s="102"/>
      <c r="G50" s="83">
        <f>1277600/1.18/Q50</f>
        <v>7198.8820771727378</v>
      </c>
      <c r="H50" s="84"/>
      <c r="I50" s="85"/>
      <c r="J50" s="80">
        <f t="shared" si="2"/>
        <v>7198.8820771727378</v>
      </c>
      <c r="K50" s="80"/>
      <c r="L50" s="80"/>
      <c r="M50" s="66"/>
      <c r="N50" s="66"/>
      <c r="O50" s="16">
        <v>1</v>
      </c>
      <c r="P50" s="16">
        <v>160</v>
      </c>
      <c r="Q50" s="16">
        <f t="shared" si="3"/>
        <v>150.39999999999998</v>
      </c>
    </row>
    <row r="51" spans="1:17" x14ac:dyDescent="0.3">
      <c r="A51" s="94"/>
      <c r="B51" s="60" t="s">
        <v>205</v>
      </c>
      <c r="C51" s="110"/>
      <c r="D51" s="100"/>
      <c r="E51" s="101"/>
      <c r="F51" s="102"/>
      <c r="G51" s="83">
        <f>2083178/1.18/Q51</f>
        <v>7512.3620627479268</v>
      </c>
      <c r="H51" s="84"/>
      <c r="I51" s="85"/>
      <c r="J51" s="80">
        <f t="shared" si="2"/>
        <v>7512.3620627479268</v>
      </c>
      <c r="K51" s="80"/>
      <c r="L51" s="80"/>
      <c r="M51" s="66"/>
      <c r="N51" s="66"/>
      <c r="O51" s="16">
        <v>1</v>
      </c>
      <c r="P51" s="16">
        <v>250</v>
      </c>
      <c r="Q51" s="16">
        <f t="shared" si="3"/>
        <v>235</v>
      </c>
    </row>
    <row r="52" spans="1:17" x14ac:dyDescent="0.3">
      <c r="A52" s="94"/>
      <c r="B52" s="60" t="s">
        <v>184</v>
      </c>
      <c r="C52" s="110"/>
      <c r="D52" s="100"/>
      <c r="E52" s="101"/>
      <c r="F52" s="102"/>
      <c r="G52" s="77">
        <f>564111/1.18/Q52</f>
        <v>8072.6134665911086</v>
      </c>
      <c r="H52" s="78"/>
      <c r="I52" s="79"/>
      <c r="J52" s="80">
        <f t="shared" si="2"/>
        <v>8072.6134665911086</v>
      </c>
      <c r="K52" s="80"/>
      <c r="L52" s="80"/>
      <c r="M52" s="66"/>
      <c r="N52" s="66"/>
      <c r="O52" s="16">
        <v>1</v>
      </c>
      <c r="P52" s="16">
        <v>63</v>
      </c>
      <c r="Q52" s="16">
        <f t="shared" si="3"/>
        <v>59.22</v>
      </c>
    </row>
    <row r="53" spans="1:17" x14ac:dyDescent="0.3">
      <c r="A53" s="94"/>
      <c r="B53" s="60" t="s">
        <v>185</v>
      </c>
      <c r="C53" s="110"/>
      <c r="D53" s="100"/>
      <c r="E53" s="101"/>
      <c r="F53" s="102"/>
      <c r="G53" s="77">
        <f>649986/1.18/Q53</f>
        <v>5859.9531193653092</v>
      </c>
      <c r="H53" s="78"/>
      <c r="I53" s="79"/>
      <c r="J53" s="80">
        <f t="shared" si="2"/>
        <v>5859.9531193653092</v>
      </c>
      <c r="K53" s="80"/>
      <c r="L53" s="80"/>
      <c r="M53" s="66"/>
      <c r="N53" s="66"/>
      <c r="O53" s="16">
        <v>1</v>
      </c>
      <c r="P53" s="16">
        <v>100</v>
      </c>
      <c r="Q53" s="16">
        <f t="shared" si="3"/>
        <v>94</v>
      </c>
    </row>
    <row r="54" spans="1:17" x14ac:dyDescent="0.3">
      <c r="A54" s="94"/>
      <c r="B54" s="60" t="s">
        <v>186</v>
      </c>
      <c r="C54" s="110"/>
      <c r="D54" s="100"/>
      <c r="E54" s="101"/>
      <c r="F54" s="102"/>
      <c r="G54" s="77">
        <f>968397/1.18/Q54</f>
        <v>5456.6185088351976</v>
      </c>
      <c r="H54" s="78"/>
      <c r="I54" s="79"/>
      <c r="J54" s="80">
        <f t="shared" si="2"/>
        <v>5456.6185088351976</v>
      </c>
      <c r="K54" s="80"/>
      <c r="L54" s="80"/>
      <c r="M54" s="66"/>
      <c r="N54" s="66"/>
      <c r="O54" s="16">
        <v>1</v>
      </c>
      <c r="P54" s="16">
        <v>160</v>
      </c>
      <c r="Q54" s="16">
        <f t="shared" si="3"/>
        <v>150.39999999999998</v>
      </c>
    </row>
    <row r="55" spans="1:17" x14ac:dyDescent="0.3">
      <c r="A55" s="94"/>
      <c r="B55" s="61" t="s">
        <v>187</v>
      </c>
      <c r="C55" s="110"/>
      <c r="D55" s="100"/>
      <c r="E55" s="101"/>
      <c r="F55" s="102"/>
      <c r="G55" s="77">
        <f>1503834/1.18/Q55</f>
        <v>5423.130183916337</v>
      </c>
      <c r="H55" s="78"/>
      <c r="I55" s="79"/>
      <c r="J55" s="80">
        <f t="shared" si="2"/>
        <v>5423.130183916337</v>
      </c>
      <c r="K55" s="80"/>
      <c r="L55" s="80"/>
      <c r="M55" s="66"/>
      <c r="N55" s="66"/>
      <c r="O55" s="16">
        <v>1</v>
      </c>
      <c r="P55" s="16">
        <v>250</v>
      </c>
      <c r="Q55" s="16">
        <f t="shared" si="3"/>
        <v>235</v>
      </c>
    </row>
    <row r="56" spans="1:17" x14ac:dyDescent="0.3">
      <c r="A56" s="94"/>
      <c r="B56" s="62" t="s">
        <v>188</v>
      </c>
      <c r="C56" s="110"/>
      <c r="D56" s="100"/>
      <c r="E56" s="101"/>
      <c r="F56" s="102"/>
      <c r="G56" s="77">
        <f>2397224/1.18/Q56</f>
        <v>5403.0472412549589</v>
      </c>
      <c r="H56" s="78"/>
      <c r="I56" s="79"/>
      <c r="J56" s="80">
        <f t="shared" ref="J56:J57" si="4">G56</f>
        <v>5403.0472412549589</v>
      </c>
      <c r="K56" s="80"/>
      <c r="L56" s="80"/>
      <c r="M56" s="66"/>
      <c r="N56" s="66"/>
      <c r="O56" s="16">
        <v>1</v>
      </c>
      <c r="P56" s="16">
        <v>400</v>
      </c>
      <c r="Q56" s="16">
        <f t="shared" si="3"/>
        <v>376</v>
      </c>
    </row>
    <row r="57" spans="1:17" x14ac:dyDescent="0.3">
      <c r="A57" s="94"/>
      <c r="B57" s="62" t="s">
        <v>189</v>
      </c>
      <c r="C57" s="110"/>
      <c r="D57" s="100"/>
      <c r="E57" s="101"/>
      <c r="F57" s="102"/>
      <c r="G57" s="77">
        <f>3757044/1.18/Q57</f>
        <v>5376.4532138134746</v>
      </c>
      <c r="H57" s="78"/>
      <c r="I57" s="79"/>
      <c r="J57" s="80">
        <f t="shared" si="4"/>
        <v>5376.4532138134746</v>
      </c>
      <c r="K57" s="80"/>
      <c r="L57" s="80"/>
      <c r="M57" s="66"/>
      <c r="N57" s="66"/>
      <c r="O57" s="16">
        <v>1</v>
      </c>
      <c r="P57" s="16">
        <v>630</v>
      </c>
      <c r="Q57" s="16">
        <f t="shared" si="3"/>
        <v>592.19999999999993</v>
      </c>
    </row>
    <row r="58" spans="1:17" x14ac:dyDescent="0.3">
      <c r="A58" s="94"/>
      <c r="B58" s="62" t="s">
        <v>190</v>
      </c>
      <c r="C58" s="110"/>
      <c r="D58" s="100"/>
      <c r="E58" s="101"/>
      <c r="F58" s="102"/>
      <c r="G58" s="77">
        <f>5933526/1.18/Q58</f>
        <v>5349.3743238370007</v>
      </c>
      <c r="H58" s="78"/>
      <c r="I58" s="79"/>
      <c r="J58" s="80">
        <f t="shared" ref="J58:J67" si="5">G58</f>
        <v>5349.3743238370007</v>
      </c>
      <c r="K58" s="80"/>
      <c r="L58" s="80"/>
      <c r="M58" s="66"/>
      <c r="N58" s="66"/>
      <c r="O58" s="16">
        <v>1</v>
      </c>
      <c r="P58" s="16">
        <v>1000</v>
      </c>
      <c r="Q58" s="16">
        <f t="shared" si="3"/>
        <v>940</v>
      </c>
    </row>
    <row r="59" spans="1:17" x14ac:dyDescent="0.3">
      <c r="A59" s="94"/>
      <c r="B59" s="61" t="s">
        <v>191</v>
      </c>
      <c r="C59" s="110"/>
      <c r="D59" s="100"/>
      <c r="E59" s="101"/>
      <c r="F59" s="102"/>
      <c r="G59" s="79">
        <f>1107734/1.18/Q59</f>
        <v>7926.018466047316</v>
      </c>
      <c r="H59" s="80"/>
      <c r="I59" s="80"/>
      <c r="J59" s="80">
        <f t="shared" si="5"/>
        <v>7926.018466047316</v>
      </c>
      <c r="K59" s="80"/>
      <c r="L59" s="80"/>
      <c r="M59" s="66"/>
      <c r="N59" s="66"/>
      <c r="O59" s="16">
        <v>2</v>
      </c>
      <c r="P59" s="16">
        <v>63</v>
      </c>
      <c r="Q59" s="16">
        <f t="shared" si="3"/>
        <v>118.44</v>
      </c>
    </row>
    <row r="60" spans="1:17" x14ac:dyDescent="0.3">
      <c r="A60" s="94"/>
      <c r="B60" s="61" t="s">
        <v>192</v>
      </c>
      <c r="C60" s="110"/>
      <c r="D60" s="100"/>
      <c r="E60" s="101"/>
      <c r="F60" s="102"/>
      <c r="G60" s="79">
        <f>1158237/1.18/Q60</f>
        <v>5221.0467003245585</v>
      </c>
      <c r="H60" s="80"/>
      <c r="I60" s="80"/>
      <c r="J60" s="80">
        <f t="shared" si="5"/>
        <v>5221.0467003245585</v>
      </c>
      <c r="K60" s="80"/>
      <c r="L60" s="80"/>
      <c r="M60" s="66"/>
      <c r="N60" s="66"/>
      <c r="O60" s="16">
        <v>2</v>
      </c>
      <c r="P60" s="16">
        <v>100</v>
      </c>
      <c r="Q60" s="16">
        <f t="shared" si="3"/>
        <v>188</v>
      </c>
    </row>
    <row r="61" spans="1:17" x14ac:dyDescent="0.3">
      <c r="A61" s="94"/>
      <c r="B61" s="61" t="s">
        <v>193</v>
      </c>
      <c r="C61" s="110"/>
      <c r="D61" s="100"/>
      <c r="E61" s="101"/>
      <c r="F61" s="102"/>
      <c r="G61" s="79">
        <f>1443887/1.18/Q61</f>
        <v>4067.9290254237299</v>
      </c>
      <c r="H61" s="80"/>
      <c r="I61" s="80"/>
      <c r="J61" s="80">
        <f t="shared" si="5"/>
        <v>4067.9290254237299</v>
      </c>
      <c r="K61" s="80"/>
      <c r="L61" s="80"/>
      <c r="M61" s="66"/>
      <c r="N61" s="66"/>
      <c r="O61" s="16">
        <v>2</v>
      </c>
      <c r="P61" s="16">
        <v>160</v>
      </c>
      <c r="Q61" s="16">
        <f t="shared" si="3"/>
        <v>300.79999999999995</v>
      </c>
    </row>
    <row r="62" spans="1:17" x14ac:dyDescent="0.3">
      <c r="A62" s="94"/>
      <c r="B62" s="61" t="s">
        <v>194</v>
      </c>
      <c r="C62" s="110"/>
      <c r="D62" s="100"/>
      <c r="E62" s="101"/>
      <c r="F62" s="102"/>
      <c r="G62" s="79">
        <f>2174287/1.18/Q62</f>
        <v>3920.4597908402457</v>
      </c>
      <c r="H62" s="80"/>
      <c r="I62" s="80"/>
      <c r="J62" s="80">
        <f t="shared" si="5"/>
        <v>3920.4597908402457</v>
      </c>
      <c r="K62" s="80"/>
      <c r="L62" s="80"/>
      <c r="M62" s="66"/>
      <c r="N62" s="66"/>
      <c r="O62" s="16">
        <v>2</v>
      </c>
      <c r="P62" s="16">
        <v>250</v>
      </c>
      <c r="Q62" s="16">
        <f t="shared" si="3"/>
        <v>470</v>
      </c>
    </row>
    <row r="63" spans="1:17" x14ac:dyDescent="0.3">
      <c r="A63" s="94"/>
      <c r="B63" s="62" t="s">
        <v>195</v>
      </c>
      <c r="C63" s="110"/>
      <c r="D63" s="100"/>
      <c r="E63" s="101"/>
      <c r="F63" s="102"/>
      <c r="G63" s="77">
        <f>3479957/1.18/Q63</f>
        <v>3921.6969437432385</v>
      </c>
      <c r="H63" s="78"/>
      <c r="I63" s="79"/>
      <c r="J63" s="80">
        <f t="shared" si="5"/>
        <v>3921.6969437432385</v>
      </c>
      <c r="K63" s="80"/>
      <c r="L63" s="80"/>
      <c r="M63" s="66"/>
      <c r="N63" s="66"/>
      <c r="O63" s="16">
        <v>2</v>
      </c>
      <c r="P63" s="16">
        <v>400</v>
      </c>
      <c r="Q63" s="16">
        <f t="shared" si="3"/>
        <v>752</v>
      </c>
    </row>
    <row r="64" spans="1:17" x14ac:dyDescent="0.3">
      <c r="A64" s="94"/>
      <c r="B64" s="62" t="s">
        <v>196</v>
      </c>
      <c r="C64" s="110"/>
      <c r="D64" s="100"/>
      <c r="E64" s="101"/>
      <c r="F64" s="102"/>
      <c r="G64" s="77">
        <f>5497264/1.18/Q64</f>
        <v>3933.3825608618263</v>
      </c>
      <c r="H64" s="78"/>
      <c r="I64" s="79"/>
      <c r="J64" s="80">
        <f t="shared" si="5"/>
        <v>3933.3825608618263</v>
      </c>
      <c r="K64" s="80"/>
      <c r="L64" s="80"/>
      <c r="M64" s="66"/>
      <c r="N64" s="66"/>
      <c r="O64" s="16">
        <v>2</v>
      </c>
      <c r="P64" s="16">
        <v>630</v>
      </c>
      <c r="Q64" s="16">
        <f t="shared" si="3"/>
        <v>1184.3999999999999</v>
      </c>
    </row>
    <row r="65" spans="1:17" x14ac:dyDescent="0.3">
      <c r="A65" s="94"/>
      <c r="B65" s="62" t="s">
        <v>197</v>
      </c>
      <c r="C65" s="110"/>
      <c r="D65" s="100"/>
      <c r="E65" s="101"/>
      <c r="F65" s="102"/>
      <c r="G65" s="77">
        <f>8518.76818*1000/1.18/Q65</f>
        <v>3840.0505679769203</v>
      </c>
      <c r="H65" s="78"/>
      <c r="I65" s="79"/>
      <c r="J65" s="80">
        <f t="shared" si="5"/>
        <v>3840.0505679769203</v>
      </c>
      <c r="K65" s="80"/>
      <c r="L65" s="80"/>
      <c r="M65" s="66"/>
      <c r="N65" s="66"/>
      <c r="O65" s="16">
        <v>2</v>
      </c>
      <c r="P65" s="16">
        <v>1000</v>
      </c>
      <c r="Q65" s="16">
        <f t="shared" si="3"/>
        <v>1880</v>
      </c>
    </row>
    <row r="66" spans="1:17" x14ac:dyDescent="0.3">
      <c r="A66" s="94"/>
      <c r="B66" s="61" t="s">
        <v>151</v>
      </c>
      <c r="C66" s="110"/>
      <c r="D66" s="100"/>
      <c r="E66" s="101"/>
      <c r="F66" s="102"/>
      <c r="G66" s="79">
        <f>2489127/1.18/Q66</f>
        <v>8976.2964298593597</v>
      </c>
      <c r="H66" s="80"/>
      <c r="I66" s="80"/>
      <c r="J66" s="80">
        <f t="shared" si="5"/>
        <v>8976.2964298593597</v>
      </c>
      <c r="K66" s="80"/>
      <c r="L66" s="80"/>
      <c r="M66" s="66"/>
      <c r="N66" s="66"/>
      <c r="O66" s="16">
        <v>1</v>
      </c>
      <c r="P66" s="16">
        <v>250</v>
      </c>
      <c r="Q66" s="16">
        <f t="shared" si="3"/>
        <v>235</v>
      </c>
    </row>
    <row r="67" spans="1:17" x14ac:dyDescent="0.3">
      <c r="A67" s="94"/>
      <c r="B67" s="62" t="s">
        <v>152</v>
      </c>
      <c r="C67" s="110"/>
      <c r="D67" s="100"/>
      <c r="E67" s="101"/>
      <c r="F67" s="102"/>
      <c r="G67" s="77">
        <f>4190133/1.18/Q67</f>
        <v>9444.0430039668245</v>
      </c>
      <c r="H67" s="78"/>
      <c r="I67" s="79"/>
      <c r="J67" s="80">
        <f t="shared" si="5"/>
        <v>9444.0430039668245</v>
      </c>
      <c r="K67" s="80"/>
      <c r="L67" s="80"/>
      <c r="M67" s="66"/>
      <c r="N67" s="66"/>
      <c r="O67" s="16">
        <v>1</v>
      </c>
      <c r="P67" s="16">
        <v>400</v>
      </c>
      <c r="Q67" s="16">
        <f t="shared" si="3"/>
        <v>376</v>
      </c>
    </row>
    <row r="68" spans="1:17" x14ac:dyDescent="0.3">
      <c r="A68" s="94"/>
      <c r="B68" s="62" t="s">
        <v>153</v>
      </c>
      <c r="C68" s="110"/>
      <c r="D68" s="100"/>
      <c r="E68" s="101"/>
      <c r="F68" s="102"/>
      <c r="G68" s="77">
        <f>6277385/1.18/Q68</f>
        <v>8983.1438645899543</v>
      </c>
      <c r="H68" s="78"/>
      <c r="I68" s="79"/>
      <c r="J68" s="80">
        <f t="shared" ref="J68:J69" si="6">G68</f>
        <v>8983.1438645899543</v>
      </c>
      <c r="K68" s="80"/>
      <c r="L68" s="80"/>
      <c r="M68" s="66"/>
      <c r="N68" s="66"/>
      <c r="O68" s="16">
        <v>1</v>
      </c>
      <c r="P68" s="16">
        <v>630</v>
      </c>
      <c r="Q68" s="16">
        <f t="shared" si="3"/>
        <v>592.19999999999993</v>
      </c>
    </row>
    <row r="69" spans="1:17" x14ac:dyDescent="0.3">
      <c r="A69" s="94"/>
      <c r="B69" s="62" t="s">
        <v>154</v>
      </c>
      <c r="C69" s="110"/>
      <c r="D69" s="100"/>
      <c r="E69" s="101"/>
      <c r="F69" s="102"/>
      <c r="G69" s="77">
        <f>10222796/1.18/Q69</f>
        <v>9216.3685539127309</v>
      </c>
      <c r="H69" s="78"/>
      <c r="I69" s="79"/>
      <c r="J69" s="80">
        <f t="shared" si="6"/>
        <v>9216.3685539127309</v>
      </c>
      <c r="K69" s="80"/>
      <c r="L69" s="80"/>
      <c r="M69" s="66"/>
      <c r="N69" s="66"/>
      <c r="O69" s="16">
        <v>1</v>
      </c>
      <c r="P69" s="16">
        <v>1000</v>
      </c>
      <c r="Q69" s="16">
        <f t="shared" si="3"/>
        <v>940</v>
      </c>
    </row>
    <row r="70" spans="1:17" x14ac:dyDescent="0.3">
      <c r="A70" s="94"/>
      <c r="B70" s="62" t="s">
        <v>155</v>
      </c>
      <c r="C70" s="110"/>
      <c r="D70" s="100"/>
      <c r="E70" s="101"/>
      <c r="F70" s="102"/>
      <c r="G70" s="77">
        <f>12475975/1.18/Q70</f>
        <v>8998.1788676523629</v>
      </c>
      <c r="H70" s="78"/>
      <c r="I70" s="79"/>
      <c r="J70" s="80">
        <f t="shared" ref="J70:J75" si="7">G70</f>
        <v>8998.1788676523629</v>
      </c>
      <c r="K70" s="80"/>
      <c r="L70" s="80"/>
      <c r="M70" s="66"/>
      <c r="N70" s="66"/>
      <c r="O70" s="16">
        <v>1</v>
      </c>
      <c r="P70" s="16">
        <v>1250</v>
      </c>
      <c r="Q70" s="16">
        <f t="shared" si="3"/>
        <v>1175</v>
      </c>
    </row>
    <row r="71" spans="1:17" x14ac:dyDescent="0.3">
      <c r="A71" s="94"/>
      <c r="B71" s="61" t="s">
        <v>156</v>
      </c>
      <c r="C71" s="110"/>
      <c r="D71" s="100"/>
      <c r="E71" s="101"/>
      <c r="F71" s="102"/>
      <c r="G71" s="79">
        <f>3918638/1.18/Q71</f>
        <v>7065.7014064190416</v>
      </c>
      <c r="H71" s="80"/>
      <c r="I71" s="80"/>
      <c r="J71" s="80">
        <f t="shared" si="7"/>
        <v>7065.7014064190416</v>
      </c>
      <c r="K71" s="80"/>
      <c r="L71" s="80"/>
      <c r="M71" s="66"/>
      <c r="N71" s="66"/>
      <c r="O71" s="16">
        <v>2</v>
      </c>
      <c r="P71" s="16">
        <v>250</v>
      </c>
      <c r="Q71" s="16">
        <f t="shared" si="3"/>
        <v>470</v>
      </c>
    </row>
    <row r="72" spans="1:17" x14ac:dyDescent="0.3">
      <c r="A72" s="94"/>
      <c r="B72" s="62" t="s">
        <v>157</v>
      </c>
      <c r="C72" s="110"/>
      <c r="D72" s="100"/>
      <c r="E72" s="101"/>
      <c r="F72" s="102"/>
      <c r="G72" s="79">
        <f>6264732/1.18/Q72</f>
        <v>7059.9666426253152</v>
      </c>
      <c r="H72" s="80"/>
      <c r="I72" s="80"/>
      <c r="J72" s="80">
        <f t="shared" si="7"/>
        <v>7059.9666426253152</v>
      </c>
      <c r="K72" s="80"/>
      <c r="L72" s="80"/>
      <c r="M72" s="66"/>
      <c r="N72" s="66"/>
      <c r="O72" s="16">
        <v>2</v>
      </c>
      <c r="P72" s="16">
        <v>400</v>
      </c>
      <c r="Q72" s="16">
        <f t="shared" si="3"/>
        <v>752</v>
      </c>
    </row>
    <row r="73" spans="1:17" x14ac:dyDescent="0.3">
      <c r="A73" s="94"/>
      <c r="B73" s="62" t="s">
        <v>158</v>
      </c>
      <c r="C73" s="110"/>
      <c r="D73" s="100"/>
      <c r="E73" s="101"/>
      <c r="F73" s="102"/>
      <c r="G73" s="79">
        <f>10032558/1.18/Q73</f>
        <v>7178.4598080126398</v>
      </c>
      <c r="H73" s="80"/>
      <c r="I73" s="80"/>
      <c r="J73" s="80">
        <f t="shared" si="7"/>
        <v>7178.4598080126398</v>
      </c>
      <c r="K73" s="80"/>
      <c r="L73" s="80"/>
      <c r="M73" s="66"/>
      <c r="N73" s="66"/>
      <c r="O73" s="16">
        <v>2</v>
      </c>
      <c r="P73" s="16">
        <v>630</v>
      </c>
      <c r="Q73" s="16">
        <f t="shared" si="3"/>
        <v>1184.3999999999999</v>
      </c>
    </row>
    <row r="74" spans="1:17" x14ac:dyDescent="0.3">
      <c r="A74" s="94"/>
      <c r="B74" s="62" t="s">
        <v>159</v>
      </c>
      <c r="C74" s="110"/>
      <c r="D74" s="100"/>
      <c r="E74" s="101"/>
      <c r="F74" s="102"/>
      <c r="G74" s="79">
        <f>15722503/1.18/Q74</f>
        <v>7087.3165344392355</v>
      </c>
      <c r="H74" s="80"/>
      <c r="I74" s="80"/>
      <c r="J74" s="80">
        <f t="shared" si="7"/>
        <v>7087.3165344392355</v>
      </c>
      <c r="K74" s="80"/>
      <c r="L74" s="80"/>
      <c r="M74" s="66"/>
      <c r="N74" s="66"/>
      <c r="O74" s="16">
        <v>2</v>
      </c>
      <c r="P74" s="16">
        <v>1000</v>
      </c>
      <c r="Q74" s="16">
        <f t="shared" si="3"/>
        <v>1880</v>
      </c>
    </row>
    <row r="75" spans="1:17" x14ac:dyDescent="0.3">
      <c r="A75" s="94"/>
      <c r="B75" s="62" t="s">
        <v>160</v>
      </c>
      <c r="C75" s="110"/>
      <c r="D75" s="100"/>
      <c r="E75" s="101"/>
      <c r="F75" s="102"/>
      <c r="G75" s="79">
        <f>19392515/1.18/Q75</f>
        <v>6993.3339343671123</v>
      </c>
      <c r="H75" s="80"/>
      <c r="I75" s="80"/>
      <c r="J75" s="80">
        <f t="shared" si="7"/>
        <v>6993.3339343671123</v>
      </c>
      <c r="K75" s="80"/>
      <c r="L75" s="80"/>
      <c r="M75" s="66"/>
      <c r="N75" s="66"/>
      <c r="O75" s="16">
        <v>2</v>
      </c>
      <c r="P75" s="16">
        <v>1250</v>
      </c>
      <c r="Q75" s="16">
        <f t="shared" si="3"/>
        <v>2350</v>
      </c>
    </row>
    <row r="76" spans="1:17" x14ac:dyDescent="0.3">
      <c r="A76" s="94"/>
      <c r="B76" s="62" t="s">
        <v>161</v>
      </c>
      <c r="C76" s="110"/>
      <c r="D76" s="100"/>
      <c r="E76" s="101"/>
      <c r="F76" s="102"/>
      <c r="G76" s="79">
        <f>24103200/1.18/Q76</f>
        <v>6790.70501262171</v>
      </c>
      <c r="H76" s="80"/>
      <c r="I76" s="80"/>
      <c r="J76" s="80">
        <f t="shared" si="2"/>
        <v>6790.70501262171</v>
      </c>
      <c r="K76" s="80"/>
      <c r="L76" s="80"/>
      <c r="M76" s="66"/>
      <c r="N76" s="66"/>
      <c r="O76" s="16">
        <v>2</v>
      </c>
      <c r="P76" s="16">
        <v>1600</v>
      </c>
      <c r="Q76" s="16">
        <f t="shared" si="3"/>
        <v>3008</v>
      </c>
    </row>
    <row r="77" spans="1:17" x14ac:dyDescent="0.3">
      <c r="A77" s="94"/>
      <c r="B77" s="62" t="s">
        <v>206</v>
      </c>
      <c r="C77" s="110"/>
      <c r="D77" s="100"/>
      <c r="E77" s="101"/>
      <c r="F77" s="102"/>
      <c r="G77" s="77">
        <f>34260.859*1000/1.18/Q77</f>
        <v>15443.950144248107</v>
      </c>
      <c r="H77" s="78"/>
      <c r="I77" s="79"/>
      <c r="J77" s="80">
        <f t="shared" ref="J77:J78" si="8">G77</f>
        <v>15443.950144248107</v>
      </c>
      <c r="K77" s="80"/>
      <c r="L77" s="80"/>
      <c r="M77" s="66"/>
      <c r="N77" s="66"/>
      <c r="O77" s="16">
        <v>2</v>
      </c>
      <c r="P77" s="16">
        <v>1000</v>
      </c>
      <c r="Q77" s="16">
        <f t="shared" si="3"/>
        <v>1880</v>
      </c>
    </row>
    <row r="78" spans="1:17" x14ac:dyDescent="0.3">
      <c r="A78" s="108"/>
      <c r="B78" s="62" t="s">
        <v>207</v>
      </c>
      <c r="C78" s="111"/>
      <c r="D78" s="103"/>
      <c r="E78" s="104"/>
      <c r="F78" s="105"/>
      <c r="G78" s="77">
        <f>29675970.82/Q78</f>
        <v>12628.072689361703</v>
      </c>
      <c r="H78" s="78"/>
      <c r="I78" s="79"/>
      <c r="J78" s="80">
        <f t="shared" si="8"/>
        <v>12628.072689361703</v>
      </c>
      <c r="K78" s="80"/>
      <c r="L78" s="80"/>
      <c r="M78" s="66"/>
      <c r="N78" s="66"/>
      <c r="O78" s="16">
        <v>2</v>
      </c>
      <c r="P78" s="16">
        <v>1250</v>
      </c>
      <c r="Q78" s="16">
        <f t="shared" si="3"/>
        <v>2350</v>
      </c>
    </row>
    <row r="79" spans="1:17" ht="110.4" x14ac:dyDescent="0.3">
      <c r="A79" s="94" t="s">
        <v>210</v>
      </c>
      <c r="B79" s="23" t="s">
        <v>211</v>
      </c>
      <c r="C79" s="109" t="s">
        <v>212</v>
      </c>
      <c r="D79" s="97" t="s">
        <v>213</v>
      </c>
      <c r="E79" s="98"/>
      <c r="F79" s="99"/>
      <c r="G79" s="75" t="s">
        <v>125</v>
      </c>
      <c r="H79" s="76"/>
      <c r="I79" s="76"/>
      <c r="J79" s="75" t="s">
        <v>125</v>
      </c>
      <c r="K79" s="76"/>
      <c r="L79" s="76"/>
      <c r="M79" s="57"/>
      <c r="N79" s="66"/>
    </row>
    <row r="80" spans="1:17" x14ac:dyDescent="0.3">
      <c r="A80" s="94"/>
      <c r="B80" s="23" t="s">
        <v>126</v>
      </c>
      <c r="C80" s="110"/>
      <c r="D80" s="100"/>
      <c r="E80" s="101"/>
      <c r="F80" s="102"/>
      <c r="G80" s="75" t="s">
        <v>125</v>
      </c>
      <c r="H80" s="76"/>
      <c r="I80" s="76"/>
      <c r="J80" s="75" t="s">
        <v>125</v>
      </c>
      <c r="K80" s="76"/>
      <c r="L80" s="76"/>
      <c r="M80" s="57"/>
      <c r="N80" s="66"/>
    </row>
    <row r="81" spans="1:14" ht="15" customHeight="1" x14ac:dyDescent="0.3">
      <c r="A81" s="108"/>
      <c r="B81" s="62" t="s">
        <v>198</v>
      </c>
      <c r="C81" s="111"/>
      <c r="D81" s="103"/>
      <c r="E81" s="104"/>
      <c r="F81" s="105"/>
      <c r="G81" s="79">
        <f>17859578/1.18</f>
        <v>15135235.59322034</v>
      </c>
      <c r="H81" s="80"/>
      <c r="I81" s="80"/>
      <c r="J81" s="80">
        <f t="shared" ref="J81" si="9">G81</f>
        <v>15135235.59322034</v>
      </c>
      <c r="K81" s="80"/>
      <c r="L81" s="80"/>
      <c r="M81" s="67"/>
      <c r="N81" s="66"/>
    </row>
    <row r="82" spans="1:14" ht="15" customHeight="1" x14ac:dyDescent="0.3">
      <c r="A82" s="69"/>
      <c r="B82" s="70"/>
      <c r="C82" s="68"/>
      <c r="D82" s="68"/>
      <c r="E82" s="68"/>
      <c r="F82" s="68"/>
      <c r="G82" s="67"/>
      <c r="H82" s="67"/>
      <c r="I82" s="67"/>
      <c r="J82" s="67"/>
      <c r="K82" s="67"/>
      <c r="L82" s="67"/>
      <c r="M82" s="67"/>
      <c r="N82" s="66"/>
    </row>
    <row r="83" spans="1:14" ht="30.6" customHeight="1" x14ac:dyDescent="0.3">
      <c r="A83" s="16" t="s">
        <v>217</v>
      </c>
      <c r="C83" s="34"/>
    </row>
    <row r="84" spans="1:14" ht="126" customHeight="1" x14ac:dyDescent="0.3">
      <c r="A84" s="74" t="s">
        <v>216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</sheetData>
  <mergeCells count="179">
    <mergeCell ref="G52:I52"/>
    <mergeCell ref="J52:L52"/>
    <mergeCell ref="A38:A78"/>
    <mergeCell ref="A79:A81"/>
    <mergeCell ref="C38:C78"/>
    <mergeCell ref="C79:C81"/>
    <mergeCell ref="D79:F81"/>
    <mergeCell ref="J80:L80"/>
    <mergeCell ref="J79:L79"/>
    <mergeCell ref="G56:I56"/>
    <mergeCell ref="G57:I57"/>
    <mergeCell ref="J57:L57"/>
    <mergeCell ref="J56:L56"/>
    <mergeCell ref="J63:L63"/>
    <mergeCell ref="J64:L64"/>
    <mergeCell ref="J65:L65"/>
    <mergeCell ref="G65:I65"/>
    <mergeCell ref="G63:I63"/>
    <mergeCell ref="G64:I64"/>
    <mergeCell ref="G58:I58"/>
    <mergeCell ref="J58:L58"/>
    <mergeCell ref="J67:L67"/>
    <mergeCell ref="G67:I67"/>
    <mergeCell ref="J68:L68"/>
    <mergeCell ref="A35:A37"/>
    <mergeCell ref="C35:C37"/>
    <mergeCell ref="D35:F37"/>
    <mergeCell ref="G35:I35"/>
    <mergeCell ref="J35:L35"/>
    <mergeCell ref="G36:I36"/>
    <mergeCell ref="J36:L36"/>
    <mergeCell ref="G37:I37"/>
    <mergeCell ref="J37:L37"/>
    <mergeCell ref="C31:C34"/>
    <mergeCell ref="D31:F34"/>
    <mergeCell ref="G44:I44"/>
    <mergeCell ref="J44:L44"/>
    <mergeCell ref="G47:I47"/>
    <mergeCell ref="J47:L47"/>
    <mergeCell ref="G48:I48"/>
    <mergeCell ref="J48:L48"/>
    <mergeCell ref="G49:I49"/>
    <mergeCell ref="J49:L49"/>
    <mergeCell ref="G45:I45"/>
    <mergeCell ref="J45:L45"/>
    <mergeCell ref="G46:I46"/>
    <mergeCell ref="J46:L46"/>
    <mergeCell ref="A31:A34"/>
    <mergeCell ref="G31:I31"/>
    <mergeCell ref="J31:L31"/>
    <mergeCell ref="G32:I32"/>
    <mergeCell ref="J32:L32"/>
    <mergeCell ref="B8:L8"/>
    <mergeCell ref="B9:L9"/>
    <mergeCell ref="A12:B13"/>
    <mergeCell ref="C12:C13"/>
    <mergeCell ref="D12:F13"/>
    <mergeCell ref="G12:L12"/>
    <mergeCell ref="C14:C18"/>
    <mergeCell ref="D14:F14"/>
    <mergeCell ref="G14:I14"/>
    <mergeCell ref="J14:L14"/>
    <mergeCell ref="D15:F15"/>
    <mergeCell ref="G15:I15"/>
    <mergeCell ref="D18:F18"/>
    <mergeCell ref="G18:I18"/>
    <mergeCell ref="J18:L18"/>
    <mergeCell ref="A19:A22"/>
    <mergeCell ref="C19:C22"/>
    <mergeCell ref="D19:F22"/>
    <mergeCell ref="G19:I19"/>
    <mergeCell ref="B2:L2"/>
    <mergeCell ref="B3:L3"/>
    <mergeCell ref="B4:L4"/>
    <mergeCell ref="B5:L5"/>
    <mergeCell ref="B6:L6"/>
    <mergeCell ref="B7:L7"/>
    <mergeCell ref="O12:P12"/>
    <mergeCell ref="G13:I13"/>
    <mergeCell ref="J13:L13"/>
    <mergeCell ref="J19:L19"/>
    <mergeCell ref="G20:I20"/>
    <mergeCell ref="J20:L20"/>
    <mergeCell ref="J15:L15"/>
    <mergeCell ref="D16:F16"/>
    <mergeCell ref="G16:I16"/>
    <mergeCell ref="J16:L16"/>
    <mergeCell ref="D17:F17"/>
    <mergeCell ref="G17:I17"/>
    <mergeCell ref="J17:L17"/>
    <mergeCell ref="G22:I22"/>
    <mergeCell ref="J22:L22"/>
    <mergeCell ref="G21:I21"/>
    <mergeCell ref="J21:L21"/>
    <mergeCell ref="A27:A30"/>
    <mergeCell ref="C27:C30"/>
    <mergeCell ref="D27:F30"/>
    <mergeCell ref="G27:I27"/>
    <mergeCell ref="J27:L27"/>
    <mergeCell ref="G28:I28"/>
    <mergeCell ref="J28:L28"/>
    <mergeCell ref="G29:I29"/>
    <mergeCell ref="J29:L29"/>
    <mergeCell ref="G30:I30"/>
    <mergeCell ref="J30:L30"/>
    <mergeCell ref="A23:A26"/>
    <mergeCell ref="C23:C26"/>
    <mergeCell ref="D23:F26"/>
    <mergeCell ref="G23:I23"/>
    <mergeCell ref="J23:L23"/>
    <mergeCell ref="G24:I24"/>
    <mergeCell ref="J24:L24"/>
    <mergeCell ref="G25:I25"/>
    <mergeCell ref="J25:L25"/>
    <mergeCell ref="G26:I26"/>
    <mergeCell ref="J26:L26"/>
    <mergeCell ref="J40:L40"/>
    <mergeCell ref="G41:I41"/>
    <mergeCell ref="J41:L41"/>
    <mergeCell ref="G42:I42"/>
    <mergeCell ref="J42:L42"/>
    <mergeCell ref="G43:I43"/>
    <mergeCell ref="J43:L43"/>
    <mergeCell ref="G38:I38"/>
    <mergeCell ref="J38:L38"/>
    <mergeCell ref="G39:I39"/>
    <mergeCell ref="J39:L39"/>
    <mergeCell ref="G40:I40"/>
    <mergeCell ref="G33:I33"/>
    <mergeCell ref="J33:L33"/>
    <mergeCell ref="G34:I34"/>
    <mergeCell ref="J34:L34"/>
    <mergeCell ref="G72:I72"/>
    <mergeCell ref="J72:L72"/>
    <mergeCell ref="G73:I73"/>
    <mergeCell ref="J73:L73"/>
    <mergeCell ref="G74:I74"/>
    <mergeCell ref="J74:L74"/>
    <mergeCell ref="G71:I71"/>
    <mergeCell ref="J71:L71"/>
    <mergeCell ref="G59:I59"/>
    <mergeCell ref="J59:L59"/>
    <mergeCell ref="G60:I60"/>
    <mergeCell ref="J60:L60"/>
    <mergeCell ref="G61:I61"/>
    <mergeCell ref="J61:L61"/>
    <mergeCell ref="J70:L70"/>
    <mergeCell ref="G70:I70"/>
    <mergeCell ref="G69:I69"/>
    <mergeCell ref="G62:I62"/>
    <mergeCell ref="J62:L62"/>
    <mergeCell ref="G66:I66"/>
    <mergeCell ref="J66:L66"/>
    <mergeCell ref="J69:L69"/>
    <mergeCell ref="G68:I68"/>
    <mergeCell ref="A84:L84"/>
    <mergeCell ref="G79:I79"/>
    <mergeCell ref="G80:I80"/>
    <mergeCell ref="G77:I77"/>
    <mergeCell ref="G78:I78"/>
    <mergeCell ref="J78:L78"/>
    <mergeCell ref="J77:L77"/>
    <mergeCell ref="G75:I75"/>
    <mergeCell ref="J75:L75"/>
    <mergeCell ref="G76:I76"/>
    <mergeCell ref="J76:L76"/>
    <mergeCell ref="G81:I81"/>
    <mergeCell ref="J81:L81"/>
    <mergeCell ref="D38:F78"/>
    <mergeCell ref="G53:I53"/>
    <mergeCell ref="J53:L53"/>
    <mergeCell ref="G54:I54"/>
    <mergeCell ref="J54:L54"/>
    <mergeCell ref="G55:I55"/>
    <mergeCell ref="J55:L55"/>
    <mergeCell ref="G50:I50"/>
    <mergeCell ref="J50:L50"/>
    <mergeCell ref="G51:I51"/>
    <mergeCell ref="J51:L51"/>
  </mergeCells>
  <pageMargins left="0.70866141732283472" right="0.51181102362204722" top="0.55118110236220474" bottom="0.15748031496062992" header="0.31496062992125984" footer="0.31496062992125984"/>
  <pageSetup paperSize="9" scale="82" fitToHeight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opLeftCell="A25" zoomScale="80" zoomScaleNormal="80" workbookViewId="0">
      <selection activeCell="F15" sqref="F15"/>
    </sheetView>
  </sheetViews>
  <sheetFormatPr defaultColWidth="9.109375" defaultRowHeight="14.4" x14ac:dyDescent="0.3"/>
  <cols>
    <col min="1" max="2" width="9.109375" style="39"/>
    <col min="3" max="3" width="45.44140625" style="39" customWidth="1"/>
    <col min="4" max="4" width="19.109375" style="39" customWidth="1"/>
    <col min="5" max="5" width="17" style="39" customWidth="1"/>
    <col min="6" max="6" width="19.109375" style="39" customWidth="1"/>
    <col min="7" max="7" width="20" style="39" customWidth="1"/>
    <col min="8" max="16384" width="9.109375" style="39"/>
  </cols>
  <sheetData>
    <row r="1" spans="1:7" x14ac:dyDescent="0.3">
      <c r="F1" s="39" t="s">
        <v>56</v>
      </c>
    </row>
    <row r="5" spans="1:7" x14ac:dyDescent="0.3">
      <c r="A5" s="40"/>
      <c r="B5" s="114" t="s">
        <v>35</v>
      </c>
      <c r="C5" s="114"/>
      <c r="D5" s="114"/>
      <c r="E5" s="114"/>
      <c r="F5" s="114"/>
    </row>
    <row r="6" spans="1:7" x14ac:dyDescent="0.3">
      <c r="A6" s="40"/>
      <c r="B6" s="114" t="s">
        <v>36</v>
      </c>
      <c r="C6" s="114"/>
      <c r="D6" s="114"/>
      <c r="E6" s="114"/>
      <c r="F6" s="114"/>
    </row>
    <row r="7" spans="1:7" x14ac:dyDescent="0.3">
      <c r="A7" s="40"/>
      <c r="B7" s="116" t="s">
        <v>139</v>
      </c>
      <c r="C7" s="117"/>
      <c r="D7" s="117"/>
      <c r="E7" s="117"/>
      <c r="F7" s="117"/>
    </row>
    <row r="8" spans="1:7" x14ac:dyDescent="0.3">
      <c r="C8" s="1"/>
    </row>
    <row r="9" spans="1:7" ht="72" x14ac:dyDescent="0.3">
      <c r="B9" s="113" t="s">
        <v>37</v>
      </c>
      <c r="C9" s="113"/>
      <c r="D9" s="32" t="s">
        <v>38</v>
      </c>
      <c r="E9" s="32" t="s">
        <v>39</v>
      </c>
      <c r="F9" s="32" t="s">
        <v>40</v>
      </c>
    </row>
    <row r="10" spans="1:7" ht="28.8" x14ac:dyDescent="0.3">
      <c r="B10" s="113" t="s">
        <v>41</v>
      </c>
      <c r="C10" s="33" t="s">
        <v>42</v>
      </c>
      <c r="D10" s="37">
        <f>SUM('[1]АНАЛИЗ '!$B$5:$D$5)*1000</f>
        <v>488619582.73857957</v>
      </c>
      <c r="E10" s="37">
        <f>SUM('[1]АНАЛИЗ '!$B$11:$D$11)</f>
        <v>1232661.6883109966</v>
      </c>
      <c r="F10" s="37">
        <f>D10/E10</f>
        <v>396.39390708093657</v>
      </c>
      <c r="G10" s="41"/>
    </row>
    <row r="11" spans="1:7" x14ac:dyDescent="0.3">
      <c r="B11" s="113"/>
      <c r="C11" s="42" t="s">
        <v>28</v>
      </c>
      <c r="D11" s="38"/>
      <c r="E11" s="38"/>
      <c r="F11" s="38"/>
      <c r="G11" s="41"/>
    </row>
    <row r="12" spans="1:7" x14ac:dyDescent="0.3">
      <c r="B12" s="113"/>
      <c r="C12" s="42" t="s">
        <v>29</v>
      </c>
      <c r="D12" s="38"/>
      <c r="E12" s="38"/>
      <c r="F12" s="38"/>
      <c r="G12" s="41"/>
    </row>
    <row r="13" spans="1:7" ht="43.2" x14ac:dyDescent="0.3">
      <c r="B13" s="32" t="s">
        <v>43</v>
      </c>
      <c r="C13" s="33" t="s">
        <v>44</v>
      </c>
      <c r="D13" s="37"/>
      <c r="E13" s="37"/>
      <c r="F13" s="37"/>
      <c r="G13" s="41"/>
    </row>
    <row r="14" spans="1:7" ht="28.8" x14ac:dyDescent="0.3">
      <c r="B14" s="113" t="s">
        <v>45</v>
      </c>
      <c r="C14" s="33" t="s">
        <v>46</v>
      </c>
      <c r="D14" s="37">
        <f>'[2]прил 6_ЛО '!$G$148*1000</f>
        <v>15367232339.767971</v>
      </c>
      <c r="E14" s="37">
        <f>'[2]прил 6_ЛО '!$F$148*0.89*1000</f>
        <v>1434733.4000000001</v>
      </c>
      <c r="F14" s="37">
        <f>D14/E14</f>
        <v>10710.862617241621</v>
      </c>
      <c r="G14" s="41"/>
    </row>
    <row r="15" spans="1:7" x14ac:dyDescent="0.3">
      <c r="B15" s="113"/>
      <c r="C15" s="43" t="s">
        <v>167</v>
      </c>
      <c r="D15" s="37"/>
      <c r="E15" s="37"/>
      <c r="F15" s="37"/>
      <c r="G15" s="41"/>
    </row>
    <row r="16" spans="1:7" x14ac:dyDescent="0.3">
      <c r="B16" s="113"/>
      <c r="C16" s="43" t="s">
        <v>168</v>
      </c>
      <c r="D16" s="37"/>
      <c r="E16" s="37"/>
      <c r="F16" s="37"/>
      <c r="G16" s="41"/>
    </row>
    <row r="17" spans="2:7" x14ac:dyDescent="0.3">
      <c r="B17" s="113"/>
      <c r="C17" s="44" t="s">
        <v>165</v>
      </c>
      <c r="D17" s="37"/>
      <c r="E17" s="37"/>
      <c r="F17" s="37"/>
      <c r="G17" s="41"/>
    </row>
    <row r="18" spans="2:7" x14ac:dyDescent="0.3">
      <c r="B18" s="113"/>
      <c r="C18" s="42" t="s">
        <v>47</v>
      </c>
      <c r="D18" s="37"/>
      <c r="E18" s="37"/>
      <c r="F18" s="37"/>
      <c r="G18" s="41"/>
    </row>
    <row r="19" spans="2:7" ht="57.6" x14ac:dyDescent="0.3">
      <c r="B19" s="115"/>
      <c r="C19" s="42" t="s">
        <v>48</v>
      </c>
      <c r="D19" s="37"/>
      <c r="E19" s="37"/>
      <c r="F19" s="37"/>
      <c r="G19" s="41"/>
    </row>
    <row r="20" spans="2:7" ht="28.8" x14ac:dyDescent="0.3">
      <c r="B20" s="115"/>
      <c r="C20" s="42" t="s">
        <v>49</v>
      </c>
      <c r="D20" s="37"/>
      <c r="E20" s="37"/>
      <c r="F20" s="37"/>
      <c r="G20" s="41"/>
    </row>
    <row r="21" spans="2:7" ht="28.8" x14ac:dyDescent="0.3">
      <c r="B21" s="113" t="s">
        <v>50</v>
      </c>
      <c r="C21" s="33" t="s">
        <v>51</v>
      </c>
      <c r="D21" s="45"/>
      <c r="E21" s="45"/>
      <c r="F21" s="45"/>
      <c r="G21" s="41"/>
    </row>
    <row r="22" spans="2:7" x14ac:dyDescent="0.3">
      <c r="B22" s="113"/>
      <c r="C22" s="42" t="s">
        <v>28</v>
      </c>
      <c r="D22" s="38"/>
      <c r="E22" s="38"/>
      <c r="F22" s="38"/>
      <c r="G22" s="41"/>
    </row>
    <row r="23" spans="2:7" x14ac:dyDescent="0.3">
      <c r="B23" s="113"/>
      <c r="C23" s="42" t="s">
        <v>29</v>
      </c>
      <c r="D23" s="38"/>
      <c r="E23" s="38"/>
      <c r="F23" s="38"/>
      <c r="G23" s="41"/>
    </row>
    <row r="24" spans="2:7" ht="57.6" x14ac:dyDescent="0.3">
      <c r="B24" s="113" t="s">
        <v>52</v>
      </c>
      <c r="C24" s="33" t="s">
        <v>53</v>
      </c>
      <c r="D24" s="37"/>
      <c r="E24" s="37"/>
      <c r="F24" s="37"/>
      <c r="G24" s="41"/>
    </row>
    <row r="25" spans="2:7" x14ac:dyDescent="0.3">
      <c r="B25" s="113"/>
      <c r="C25" s="42" t="s">
        <v>28</v>
      </c>
      <c r="D25" s="38"/>
      <c r="E25" s="38"/>
      <c r="F25" s="38"/>
      <c r="G25" s="41"/>
    </row>
    <row r="26" spans="2:7" x14ac:dyDescent="0.3">
      <c r="B26" s="113"/>
      <c r="C26" s="42" t="s">
        <v>29</v>
      </c>
      <c r="D26" s="38"/>
      <c r="E26" s="38"/>
      <c r="F26" s="38"/>
      <c r="G26" s="41"/>
    </row>
    <row r="27" spans="2:7" ht="115.2" x14ac:dyDescent="0.3">
      <c r="B27" s="113" t="s">
        <v>54</v>
      </c>
      <c r="C27" s="33" t="s">
        <v>55</v>
      </c>
      <c r="D27" s="37">
        <f>SUM('[1]АНАЛИЗ '!$B$6:$D$6)*1000</f>
        <v>583801472.26729405</v>
      </c>
      <c r="E27" s="37">
        <f>SUM('[1]АНАЛИЗ '!$B$12:$D$12)</f>
        <v>1311227.343399998</v>
      </c>
      <c r="F27" s="37">
        <f>D27/E27</f>
        <v>445.23283868799081</v>
      </c>
      <c r="G27" s="41"/>
    </row>
    <row r="28" spans="2:7" x14ac:dyDescent="0.3">
      <c r="B28" s="113"/>
      <c r="C28" s="42" t="s">
        <v>28</v>
      </c>
      <c r="D28" s="38"/>
      <c r="E28" s="38"/>
      <c r="F28" s="38"/>
      <c r="G28" s="41"/>
    </row>
    <row r="29" spans="2:7" x14ac:dyDescent="0.3">
      <c r="B29" s="113"/>
      <c r="C29" s="42" t="s">
        <v>29</v>
      </c>
      <c r="D29" s="38"/>
      <c r="E29" s="38"/>
      <c r="F29" s="38"/>
      <c r="G29" s="41"/>
    </row>
    <row r="32" spans="2:7" ht="40.799999999999997" customHeight="1" x14ac:dyDescent="0.3">
      <c r="B32" s="112" t="s">
        <v>219</v>
      </c>
      <c r="C32" s="112"/>
      <c r="D32" s="112"/>
      <c r="E32" s="112"/>
      <c r="F32" s="112"/>
    </row>
    <row r="33" spans="2:6" ht="43.2" customHeight="1" x14ac:dyDescent="0.3">
      <c r="B33" s="112" t="s">
        <v>220</v>
      </c>
      <c r="C33" s="112"/>
      <c r="D33" s="112"/>
      <c r="E33" s="112"/>
      <c r="F33" s="112"/>
    </row>
    <row r="34" spans="2:6" ht="42" customHeight="1" x14ac:dyDescent="0.3">
      <c r="B34" s="112" t="s">
        <v>221</v>
      </c>
      <c r="C34" s="112"/>
      <c r="D34" s="112"/>
      <c r="E34" s="112"/>
      <c r="F34" s="112"/>
    </row>
  </sheetData>
  <mergeCells count="13">
    <mergeCell ref="B32:F32"/>
    <mergeCell ref="B33:F33"/>
    <mergeCell ref="B34:F34"/>
    <mergeCell ref="B27:B29"/>
    <mergeCell ref="B5:F5"/>
    <mergeCell ref="B6:F6"/>
    <mergeCell ref="B9:C9"/>
    <mergeCell ref="B10:B12"/>
    <mergeCell ref="B14:B18"/>
    <mergeCell ref="B19:B20"/>
    <mergeCell ref="B21:B23"/>
    <mergeCell ref="B24:B26"/>
    <mergeCell ref="B7:F7"/>
  </mergeCells>
  <hyperlinks>
    <hyperlink ref="D9" location="P243" display="P243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H40"/>
  <sheetViews>
    <sheetView zoomScale="80" zoomScaleNormal="80" workbookViewId="0">
      <selection activeCell="H17" sqref="H17:H18"/>
    </sheetView>
  </sheetViews>
  <sheetFormatPr defaultRowHeight="14.4" x14ac:dyDescent="0.3"/>
  <cols>
    <col min="4" max="4" width="35.88671875" customWidth="1"/>
    <col min="5" max="6" width="17.6640625" customWidth="1"/>
    <col min="7" max="7" width="19.109375" customWidth="1"/>
  </cols>
  <sheetData>
    <row r="2" spans="3:8" x14ac:dyDescent="0.3">
      <c r="F2" t="s">
        <v>85</v>
      </c>
    </row>
    <row r="4" spans="3:8" x14ac:dyDescent="0.3">
      <c r="C4" s="9"/>
    </row>
    <row r="5" spans="3:8" x14ac:dyDescent="0.3">
      <c r="C5" s="114" t="s">
        <v>57</v>
      </c>
      <c r="D5" s="114"/>
      <c r="E5" s="114"/>
      <c r="F5" s="114"/>
    </row>
    <row r="6" spans="3:8" x14ac:dyDescent="0.3">
      <c r="C6" s="114" t="s">
        <v>58</v>
      </c>
      <c r="D6" s="114"/>
      <c r="E6" s="114"/>
      <c r="F6" s="114"/>
    </row>
    <row r="7" spans="3:8" x14ac:dyDescent="0.3">
      <c r="C7" s="114" t="s">
        <v>59</v>
      </c>
      <c r="D7" s="114"/>
      <c r="E7" s="114"/>
      <c r="F7" s="114"/>
    </row>
    <row r="8" spans="3:8" x14ac:dyDescent="0.3">
      <c r="C8" s="119" t="s">
        <v>139</v>
      </c>
      <c r="D8" s="119"/>
      <c r="E8" s="119"/>
      <c r="F8" s="119"/>
    </row>
    <row r="10" spans="3:8" ht="57.6" x14ac:dyDescent="0.3">
      <c r="C10" s="11"/>
      <c r="D10" s="10" t="s">
        <v>60</v>
      </c>
      <c r="E10" s="71" t="s">
        <v>222</v>
      </c>
      <c r="F10" s="71" t="s">
        <v>223</v>
      </c>
    </row>
    <row r="11" spans="3:8" ht="43.2" x14ac:dyDescent="0.3">
      <c r="C11" s="10" t="s">
        <v>41</v>
      </c>
      <c r="D11" s="11" t="s">
        <v>61</v>
      </c>
      <c r="E11" s="47">
        <f>E13+E14+E15+E16+E17</f>
        <v>247654.25695695163</v>
      </c>
      <c r="F11" s="47">
        <f>F13+F14+F15+F16+F17</f>
        <v>271805.40499010339</v>
      </c>
      <c r="G11" s="46"/>
      <c r="H11" s="46"/>
    </row>
    <row r="12" spans="3:8" x14ac:dyDescent="0.3">
      <c r="C12" s="11"/>
      <c r="D12" s="11" t="s">
        <v>62</v>
      </c>
      <c r="E12" s="47" t="s">
        <v>225</v>
      </c>
      <c r="F12" s="47" t="s">
        <v>225</v>
      </c>
      <c r="G12" s="46"/>
    </row>
    <row r="13" spans="3:8" x14ac:dyDescent="0.3">
      <c r="C13" s="11"/>
      <c r="D13" s="12" t="s">
        <v>63</v>
      </c>
      <c r="E13" s="47">
        <f>'[3]Смета Регл'!D401+'[3]Смета Регл'!D420</f>
        <v>3996.8229246821447</v>
      </c>
      <c r="F13" s="47">
        <f>'[3]Смета Регл'!E401+'[3]Смета Регл'!E420</f>
        <v>2650.7294699540253</v>
      </c>
      <c r="G13" s="46"/>
    </row>
    <row r="14" spans="3:8" x14ac:dyDescent="0.3">
      <c r="C14" s="11"/>
      <c r="D14" s="12" t="s">
        <v>64</v>
      </c>
      <c r="E14" s="47">
        <f>'[3]Смета Регл'!D423</f>
        <v>2975.6280266750309</v>
      </c>
      <c r="F14" s="47">
        <f>'[3]Смета Регл'!E423</f>
        <v>4663.5992361701283</v>
      </c>
      <c r="G14" s="46"/>
    </row>
    <row r="15" spans="3:8" x14ac:dyDescent="0.3">
      <c r="C15" s="11"/>
      <c r="D15" s="12" t="s">
        <v>65</v>
      </c>
      <c r="E15" s="47">
        <f>'[3]Смета Регл'!D450</f>
        <v>139350.9641184452</v>
      </c>
      <c r="F15" s="47">
        <f>'[3]Смета Регл'!E450</f>
        <v>164945.56351000001</v>
      </c>
      <c r="G15" s="46"/>
    </row>
    <row r="16" spans="3:8" x14ac:dyDescent="0.3">
      <c r="C16" s="11"/>
      <c r="D16" s="12" t="s">
        <v>66</v>
      </c>
      <c r="E16" s="47">
        <f>'[3]Смета Регл'!D454</f>
        <v>42390.504055256097</v>
      </c>
      <c r="F16" s="47">
        <f>'[3]Смета Регл'!E454</f>
        <v>50143.451307039999</v>
      </c>
      <c r="G16" s="46"/>
    </row>
    <row r="17" spans="3:7" x14ac:dyDescent="0.3">
      <c r="C17" s="11"/>
      <c r="D17" s="12" t="s">
        <v>67</v>
      </c>
      <c r="E17" s="47">
        <f>E19+E20+E21</f>
        <v>58940.337831893194</v>
      </c>
      <c r="F17" s="47">
        <f>F19+F20+F21</f>
        <v>49402.061466939202</v>
      </c>
      <c r="G17" s="46"/>
    </row>
    <row r="18" spans="3:7" x14ac:dyDescent="0.3">
      <c r="C18" s="11"/>
      <c r="D18" s="12" t="s">
        <v>68</v>
      </c>
      <c r="E18" s="38" t="s">
        <v>225</v>
      </c>
      <c r="F18" s="38" t="s">
        <v>225</v>
      </c>
      <c r="G18" s="46"/>
    </row>
    <row r="19" spans="3:7" ht="28.8" x14ac:dyDescent="0.3">
      <c r="C19" s="11"/>
      <c r="D19" s="13" t="s">
        <v>69</v>
      </c>
      <c r="E19" s="47">
        <f>'[3]Смета Регл'!D427</f>
        <v>10527.903055999999</v>
      </c>
      <c r="F19" s="47">
        <f>'[3]Смета Регл'!E427</f>
        <v>13166.258</v>
      </c>
      <c r="G19" s="46"/>
    </row>
    <row r="20" spans="3:7" ht="43.2" x14ac:dyDescent="0.3">
      <c r="C20" s="11"/>
      <c r="D20" s="13" t="s">
        <v>70</v>
      </c>
      <c r="E20" s="47">
        <f>'[3]Смета Регл'!$D$468</f>
        <v>0</v>
      </c>
      <c r="F20" s="47"/>
      <c r="G20" s="46"/>
    </row>
    <row r="21" spans="3:7" ht="43.2" x14ac:dyDescent="0.3">
      <c r="C21" s="11"/>
      <c r="D21" s="13" t="s">
        <v>71</v>
      </c>
      <c r="E21" s="47">
        <f>E23+E24+E25+E26+E27</f>
        <v>48412.434775893198</v>
      </c>
      <c r="F21" s="47">
        <f>F23+F24+F25+F26+F27</f>
        <v>36235.8034669392</v>
      </c>
      <c r="G21" s="46"/>
    </row>
    <row r="22" spans="3:7" x14ac:dyDescent="0.3">
      <c r="C22" s="11"/>
      <c r="D22" s="13" t="s">
        <v>62</v>
      </c>
      <c r="E22" s="38"/>
      <c r="F22" s="38"/>
      <c r="G22" s="46"/>
    </row>
    <row r="23" spans="3:7" x14ac:dyDescent="0.3">
      <c r="C23" s="11"/>
      <c r="D23" s="14" t="s">
        <v>72</v>
      </c>
      <c r="E23" s="47">
        <f>'[3]Смета Регл'!D481</f>
        <v>2465.6030548995186</v>
      </c>
      <c r="F23" s="47">
        <f>'[3]Смета Регл'!E481</f>
        <v>2629.1607744313887</v>
      </c>
      <c r="G23" s="46"/>
    </row>
    <row r="24" spans="3:7" ht="28.8" x14ac:dyDescent="0.3">
      <c r="C24" s="11"/>
      <c r="D24" s="14" t="s">
        <v>73</v>
      </c>
      <c r="E24" s="47">
        <f>'[3]Смета Регл'!D490</f>
        <v>4872.7922584508833</v>
      </c>
      <c r="F24" s="47">
        <f>'[3]Смета Регл'!E490</f>
        <v>6221.4516614658514</v>
      </c>
      <c r="G24" s="46"/>
    </row>
    <row r="25" spans="3:7" ht="57.6" x14ac:dyDescent="0.3">
      <c r="C25" s="11"/>
      <c r="D25" s="14" t="s">
        <v>74</v>
      </c>
      <c r="E25" s="47">
        <f>'[3]Смета Регл'!D509+'[3]Смета Регл'!D488</f>
        <v>9108.7350767700664</v>
      </c>
      <c r="F25" s="47">
        <f>'[3]Смета Регл'!E509+'[3]Смета Регл'!E488</f>
        <v>7739.0794250189992</v>
      </c>
      <c r="G25" s="46"/>
    </row>
    <row r="26" spans="3:7" x14ac:dyDescent="0.3">
      <c r="C26" s="11"/>
      <c r="D26" s="14" t="s">
        <v>75</v>
      </c>
      <c r="E26" s="47">
        <f>'[3]Смета Регл'!D461</f>
        <v>14256.285458404109</v>
      </c>
      <c r="F26" s="47">
        <f>'[3]Смета Регл'!E461</f>
        <v>3524.4910023891325</v>
      </c>
      <c r="G26" s="46"/>
    </row>
    <row r="27" spans="3:7" ht="43.2" x14ac:dyDescent="0.3">
      <c r="C27" s="11"/>
      <c r="D27" s="14" t="s">
        <v>76</v>
      </c>
      <c r="E27" s="47">
        <f>'[3]Смета Регл'!D459+'[3]Смета Регл'!D458-E23-E24-E25-E26</f>
        <v>17709.018927368619</v>
      </c>
      <c r="F27" s="47">
        <f>'[3]Смета Регл'!E459+'[3]Смета Регл'!E458-F23-F24-F25-F26</f>
        <v>16121.62060363383</v>
      </c>
      <c r="G27" s="46"/>
    </row>
    <row r="28" spans="3:7" x14ac:dyDescent="0.3">
      <c r="C28" s="11"/>
      <c r="D28" s="12" t="s">
        <v>77</v>
      </c>
      <c r="E28" s="47">
        <f>'[4]Прибыль регл'!$D$199</f>
        <v>51024.567035472326</v>
      </c>
      <c r="F28" s="47">
        <f>F32</f>
        <v>87730.430660841346</v>
      </c>
      <c r="G28" s="46"/>
    </row>
    <row r="29" spans="3:7" x14ac:dyDescent="0.3">
      <c r="C29" s="11"/>
      <c r="D29" s="12" t="s">
        <v>62</v>
      </c>
      <c r="E29" s="38" t="s">
        <v>225</v>
      </c>
      <c r="F29" s="38" t="s">
        <v>225</v>
      </c>
      <c r="G29" s="46"/>
    </row>
    <row r="30" spans="3:7" x14ac:dyDescent="0.3">
      <c r="C30" s="11"/>
      <c r="D30" s="13" t="s">
        <v>78</v>
      </c>
      <c r="E30" s="38" t="s">
        <v>225</v>
      </c>
      <c r="F30" s="38" t="s">
        <v>225</v>
      </c>
      <c r="G30" s="46"/>
    </row>
    <row r="31" spans="3:7" x14ac:dyDescent="0.3">
      <c r="C31" s="11"/>
      <c r="D31" s="13" t="s">
        <v>79</v>
      </c>
      <c r="E31" s="38" t="s">
        <v>225</v>
      </c>
      <c r="F31" s="38" t="s">
        <v>225</v>
      </c>
      <c r="G31" s="46"/>
    </row>
    <row r="32" spans="3:7" x14ac:dyDescent="0.3">
      <c r="C32" s="11"/>
      <c r="D32" s="13" t="s">
        <v>80</v>
      </c>
      <c r="E32" s="47">
        <f>'[3]Прибыль регл'!$D$199</f>
        <v>49023.603622316543</v>
      </c>
      <c r="F32" s="47">
        <f>'[3]Прибыль регл'!$E$199</f>
        <v>87730.430660841346</v>
      </c>
      <c r="G32" s="46"/>
    </row>
    <row r="33" spans="3:7" ht="43.2" x14ac:dyDescent="0.3">
      <c r="C33" s="11"/>
      <c r="D33" s="13" t="s">
        <v>81</v>
      </c>
      <c r="E33" s="38"/>
      <c r="F33" s="38"/>
      <c r="G33" s="46"/>
    </row>
    <row r="34" spans="3:7" ht="100.8" x14ac:dyDescent="0.3">
      <c r="C34" s="10" t="s">
        <v>43</v>
      </c>
      <c r="D34" s="11" t="s">
        <v>82</v>
      </c>
      <c r="E34" s="37"/>
      <c r="F34" s="37"/>
      <c r="G34" s="46"/>
    </row>
    <row r="35" spans="3:7" ht="28.8" x14ac:dyDescent="0.3">
      <c r="C35" s="10" t="s">
        <v>45</v>
      </c>
      <c r="D35" s="11" t="s">
        <v>83</v>
      </c>
      <c r="E35" s="37"/>
      <c r="F35" s="37"/>
      <c r="G35" s="46"/>
    </row>
    <row r="36" spans="3:7" ht="28.8" x14ac:dyDescent="0.3">
      <c r="C36" s="11"/>
      <c r="D36" s="11" t="s">
        <v>84</v>
      </c>
      <c r="E36" s="37"/>
      <c r="F36" s="37"/>
      <c r="G36" s="46"/>
    </row>
    <row r="39" spans="3:7" ht="51.6" customHeight="1" x14ac:dyDescent="0.3">
      <c r="C39" s="118" t="s">
        <v>219</v>
      </c>
      <c r="D39" s="118"/>
      <c r="E39" s="118"/>
      <c r="F39" s="118"/>
    </row>
    <row r="40" spans="3:7" ht="67.2" customHeight="1" x14ac:dyDescent="0.3">
      <c r="C40" s="118" t="s">
        <v>224</v>
      </c>
      <c r="D40" s="118"/>
      <c r="E40" s="118"/>
      <c r="F40" s="118"/>
    </row>
  </sheetData>
  <mergeCells count="6">
    <mergeCell ref="C40:F40"/>
    <mergeCell ref="C5:F5"/>
    <mergeCell ref="C6:F6"/>
    <mergeCell ref="C7:F7"/>
    <mergeCell ref="C8:F8"/>
    <mergeCell ref="C39:F3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4"/>
  <sheetViews>
    <sheetView workbookViewId="0">
      <selection activeCell="B13" sqref="B13:E13"/>
    </sheetView>
  </sheetViews>
  <sheetFormatPr defaultRowHeight="14.4" x14ac:dyDescent="0.3"/>
  <cols>
    <col min="3" max="3" width="35.44140625" customWidth="1"/>
    <col min="4" max="5" width="17.5546875" customWidth="1"/>
  </cols>
  <sheetData>
    <row r="1" spans="2:5" x14ac:dyDescent="0.3">
      <c r="E1" t="s">
        <v>93</v>
      </c>
    </row>
    <row r="4" spans="2:5" x14ac:dyDescent="0.3">
      <c r="B4" s="114" t="s">
        <v>86</v>
      </c>
      <c r="C4" s="114"/>
      <c r="D4" s="114"/>
      <c r="E4" s="114"/>
    </row>
    <row r="5" spans="2:5" x14ac:dyDescent="0.3">
      <c r="B5" s="114" t="s">
        <v>87</v>
      </c>
      <c r="C5" s="114"/>
      <c r="D5" s="114"/>
      <c r="E5" s="114"/>
    </row>
    <row r="6" spans="2:5" x14ac:dyDescent="0.3">
      <c r="B6" s="116" t="s">
        <v>140</v>
      </c>
      <c r="C6" s="114"/>
      <c r="D6" s="114"/>
      <c r="E6" s="114"/>
    </row>
    <row r="7" spans="2:5" x14ac:dyDescent="0.3">
      <c r="C7" s="9"/>
    </row>
    <row r="8" spans="2:5" ht="86.4" x14ac:dyDescent="0.3">
      <c r="B8" s="113" t="s">
        <v>37</v>
      </c>
      <c r="C8" s="113"/>
      <c r="D8" s="10" t="s">
        <v>88</v>
      </c>
      <c r="E8" s="10" t="s">
        <v>89</v>
      </c>
    </row>
    <row r="9" spans="2:5" ht="43.2" x14ac:dyDescent="0.3">
      <c r="B9" s="10" t="s">
        <v>41</v>
      </c>
      <c r="C9" s="11" t="s">
        <v>90</v>
      </c>
      <c r="D9" s="15">
        <f>'[2]прил 6_ЛО '!$G$56</f>
        <v>127721.87364000001</v>
      </c>
      <c r="E9" s="15">
        <f>'[5]прилож 6 источн ЛО'!$AA$26</f>
        <v>0</v>
      </c>
    </row>
    <row r="10" spans="2:5" ht="72" x14ac:dyDescent="0.3">
      <c r="B10" s="10" t="s">
        <v>43</v>
      </c>
      <c r="C10" s="11" t="s">
        <v>91</v>
      </c>
      <c r="D10" s="15">
        <f>'[2]прил 6_ЛО '!$G$62</f>
        <v>342410.78198000009</v>
      </c>
      <c r="E10" s="15">
        <f>'[2]прил 6_ЛО '!$F$62*0.89*1000</f>
        <v>1023.4999999999999</v>
      </c>
    </row>
    <row r="11" spans="2:5" ht="43.2" x14ac:dyDescent="0.3">
      <c r="B11" s="10" t="s">
        <v>45</v>
      </c>
      <c r="C11" s="11" t="s">
        <v>92</v>
      </c>
      <c r="D11" s="15">
        <f>'[2]прил 6_ЛО '!$G$93</f>
        <v>5569835.2258504005</v>
      </c>
      <c r="E11" s="15">
        <f>'[2]прил 6_ЛО '!$F$93*0.89*1000</f>
        <v>910292</v>
      </c>
    </row>
    <row r="13" spans="2:5" ht="56.4" customHeight="1" x14ac:dyDescent="0.3">
      <c r="B13" s="118" t="s">
        <v>219</v>
      </c>
      <c r="C13" s="118"/>
      <c r="D13" s="118"/>
      <c r="E13" s="118"/>
    </row>
    <row r="14" spans="2:5" ht="29.4" customHeight="1" x14ac:dyDescent="0.3">
      <c r="B14" s="118" t="s">
        <v>226</v>
      </c>
      <c r="C14" s="118"/>
      <c r="D14" s="118"/>
      <c r="E14" s="118"/>
    </row>
  </sheetData>
  <mergeCells count="6">
    <mergeCell ref="B14:E14"/>
    <mergeCell ref="B8:C8"/>
    <mergeCell ref="B4:E4"/>
    <mergeCell ref="B5:E5"/>
    <mergeCell ref="B6:E6"/>
    <mergeCell ref="B13:E1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22"/>
  <sheetViews>
    <sheetView topLeftCell="A7" workbookViewId="0">
      <selection activeCell="F17" sqref="F17"/>
    </sheetView>
  </sheetViews>
  <sheetFormatPr defaultRowHeight="14.4" x14ac:dyDescent="0.3"/>
  <cols>
    <col min="3" max="3" width="35.88671875" customWidth="1"/>
    <col min="4" max="6" width="26.6640625" customWidth="1"/>
  </cols>
  <sheetData>
    <row r="3" spans="2:6" x14ac:dyDescent="0.3">
      <c r="F3" t="s">
        <v>103</v>
      </c>
    </row>
    <row r="5" spans="2:6" x14ac:dyDescent="0.3">
      <c r="B5" s="114" t="s">
        <v>86</v>
      </c>
      <c r="C5" s="114"/>
      <c r="D5" s="114"/>
      <c r="E5" s="114"/>
      <c r="F5" s="114"/>
    </row>
    <row r="6" spans="2:6" x14ac:dyDescent="0.3">
      <c r="B6" s="114" t="s">
        <v>94</v>
      </c>
      <c r="C6" s="114"/>
      <c r="D6" s="114"/>
      <c r="E6" s="114"/>
      <c r="F6" s="114"/>
    </row>
    <row r="7" spans="2:6" x14ac:dyDescent="0.3">
      <c r="B7" s="114" t="s">
        <v>95</v>
      </c>
      <c r="C7" s="114"/>
      <c r="D7" s="114"/>
      <c r="E7" s="114"/>
      <c r="F7" s="114"/>
    </row>
    <row r="8" spans="2:6" x14ac:dyDescent="0.3">
      <c r="B8" s="116" t="s">
        <v>141</v>
      </c>
      <c r="C8" s="114"/>
      <c r="D8" s="114"/>
      <c r="E8" s="114"/>
      <c r="F8" s="114"/>
    </row>
    <row r="11" spans="2:6" ht="100.8" x14ac:dyDescent="0.3">
      <c r="B11" s="113" t="s">
        <v>37</v>
      </c>
      <c r="C11" s="113"/>
      <c r="D11" s="10" t="s">
        <v>96</v>
      </c>
      <c r="E11" s="10" t="s">
        <v>97</v>
      </c>
      <c r="F11" s="10" t="s">
        <v>98</v>
      </c>
    </row>
    <row r="12" spans="2:6" ht="28.8" x14ac:dyDescent="0.3">
      <c r="B12" s="10" t="s">
        <v>41</v>
      </c>
      <c r="C12" s="11" t="s">
        <v>99</v>
      </c>
      <c r="D12" s="49">
        <f>'[2]прил 6_ЛО '!$G$49</f>
        <v>42491.312460000001</v>
      </c>
      <c r="E12" s="72">
        <f>'[2]прил 6_ЛО '!$E$49</f>
        <v>5.22</v>
      </c>
      <c r="F12" s="50">
        <f>'[2]прил 6_ЛО '!$F$49*0.89*1000</f>
        <v>3560</v>
      </c>
    </row>
    <row r="13" spans="2:6" x14ac:dyDescent="0.3">
      <c r="B13" s="11"/>
      <c r="C13" s="48" t="s">
        <v>100</v>
      </c>
      <c r="D13" s="50"/>
      <c r="E13" s="50"/>
      <c r="F13" s="50"/>
    </row>
    <row r="14" spans="2:6" x14ac:dyDescent="0.3">
      <c r="B14" s="11"/>
      <c r="C14" s="12" t="s">
        <v>101</v>
      </c>
      <c r="D14" s="49"/>
      <c r="E14" s="50"/>
      <c r="F14" s="50"/>
    </row>
    <row r="15" spans="2:6" x14ac:dyDescent="0.3">
      <c r="B15" s="11"/>
      <c r="C15" s="48" t="s">
        <v>172</v>
      </c>
      <c r="D15" s="49"/>
      <c r="E15" s="50"/>
      <c r="F15" s="50"/>
    </row>
    <row r="16" spans="2:6" ht="28.8" x14ac:dyDescent="0.3">
      <c r="B16" s="10" t="s">
        <v>43</v>
      </c>
      <c r="C16" s="11" t="s">
        <v>102</v>
      </c>
      <c r="D16" s="51">
        <f>'[2]прил 6_ЛО '!$G$7</f>
        <v>9284773.1458375696</v>
      </c>
      <c r="E16" s="51">
        <f>'[2]прил 6_ЛО '!$E$7</f>
        <v>3209.50614</v>
      </c>
      <c r="F16" s="51">
        <f>'[2]прил 6_ЛО '!$F$7*0.89*1000</f>
        <v>519857.90000000008</v>
      </c>
    </row>
    <row r="17" spans="2:6" x14ac:dyDescent="0.3">
      <c r="B17" s="11"/>
      <c r="C17" s="48" t="s">
        <v>100</v>
      </c>
      <c r="D17" s="51"/>
      <c r="E17" s="51"/>
      <c r="F17" s="51"/>
    </row>
    <row r="18" spans="2:6" x14ac:dyDescent="0.3">
      <c r="B18" s="11"/>
      <c r="C18" s="12" t="s">
        <v>101</v>
      </c>
      <c r="D18" s="51"/>
      <c r="E18" s="51"/>
      <c r="F18" s="51"/>
    </row>
    <row r="19" spans="2:6" x14ac:dyDescent="0.3">
      <c r="B19" s="11"/>
      <c r="C19" s="48" t="s">
        <v>172</v>
      </c>
      <c r="D19" s="51"/>
      <c r="E19" s="51"/>
      <c r="F19" s="51"/>
    </row>
    <row r="21" spans="2:6" ht="27.6" customHeight="1" x14ac:dyDescent="0.3">
      <c r="B21" s="120" t="s">
        <v>219</v>
      </c>
      <c r="C21" s="120"/>
      <c r="D21" s="120"/>
      <c r="E21" s="120"/>
      <c r="F21" s="120"/>
    </row>
    <row r="22" spans="2:6" ht="27" customHeight="1" x14ac:dyDescent="0.3">
      <c r="B22" s="118" t="s">
        <v>226</v>
      </c>
      <c r="C22" s="118"/>
      <c r="D22" s="118"/>
      <c r="E22" s="118"/>
    </row>
  </sheetData>
  <mergeCells count="7">
    <mergeCell ref="B21:F21"/>
    <mergeCell ref="B22:E22"/>
    <mergeCell ref="B11:C11"/>
    <mergeCell ref="B5:F5"/>
    <mergeCell ref="B6:F6"/>
    <mergeCell ref="B7:F7"/>
    <mergeCell ref="B8:F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6"/>
  <sheetViews>
    <sheetView topLeftCell="A7" workbookViewId="0">
      <selection activeCell="B8" sqref="B8"/>
    </sheetView>
  </sheetViews>
  <sheetFormatPr defaultColWidth="9.109375" defaultRowHeight="14.4" x14ac:dyDescent="0.3"/>
  <cols>
    <col min="1" max="2" width="9.109375" style="39"/>
    <col min="3" max="3" width="28.88671875" style="39" customWidth="1"/>
    <col min="4" max="12" width="13.109375" style="39" customWidth="1"/>
    <col min="13" max="13" width="9.109375" style="39"/>
    <col min="14" max="14" width="10.44140625" style="39" bestFit="1" customWidth="1"/>
    <col min="15" max="16384" width="9.109375" style="39"/>
  </cols>
  <sheetData>
    <row r="2" spans="2:12" x14ac:dyDescent="0.3">
      <c r="L2" s="52" t="s">
        <v>117</v>
      </c>
    </row>
    <row r="4" spans="2:12" x14ac:dyDescent="0.3">
      <c r="C4" s="35"/>
    </row>
    <row r="5" spans="2:12" x14ac:dyDescent="0.3">
      <c r="B5" s="123" t="s">
        <v>113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2:12" x14ac:dyDescent="0.3">
      <c r="B6" s="123" t="s">
        <v>114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2:12" x14ac:dyDescent="0.3">
      <c r="B7" s="124" t="s">
        <v>228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10" spans="2:12" ht="28.95" customHeight="1" x14ac:dyDescent="0.3">
      <c r="B10" s="125" t="s">
        <v>104</v>
      </c>
      <c r="C10" s="125"/>
      <c r="D10" s="125" t="s">
        <v>105</v>
      </c>
      <c r="E10" s="125"/>
      <c r="F10" s="125"/>
      <c r="G10" s="125" t="s">
        <v>106</v>
      </c>
      <c r="H10" s="125"/>
      <c r="I10" s="125"/>
      <c r="J10" s="125" t="s">
        <v>115</v>
      </c>
      <c r="K10" s="125"/>
      <c r="L10" s="125"/>
    </row>
    <row r="11" spans="2:12" x14ac:dyDescent="0.3">
      <c r="B11" s="125"/>
      <c r="C11" s="125"/>
      <c r="D11" s="36" t="s">
        <v>100</v>
      </c>
      <c r="E11" s="36" t="s">
        <v>101</v>
      </c>
      <c r="F11" s="36" t="s">
        <v>107</v>
      </c>
      <c r="G11" s="36" t="s">
        <v>100</v>
      </c>
      <c r="H11" s="36" t="s">
        <v>101</v>
      </c>
      <c r="I11" s="36" t="s">
        <v>107</v>
      </c>
      <c r="J11" s="36" t="s">
        <v>100</v>
      </c>
      <c r="K11" s="36" t="s">
        <v>101</v>
      </c>
      <c r="L11" s="36" t="s">
        <v>107</v>
      </c>
    </row>
    <row r="12" spans="2:12" x14ac:dyDescent="0.3">
      <c r="B12" s="36" t="s">
        <v>41</v>
      </c>
      <c r="C12" s="24" t="s">
        <v>109</v>
      </c>
      <c r="D12" s="54">
        <v>14595</v>
      </c>
      <c r="E12" s="54">
        <v>60</v>
      </c>
      <c r="F12" s="54">
        <v>1</v>
      </c>
      <c r="G12" s="54">
        <v>205686.05000000002</v>
      </c>
      <c r="H12" s="54">
        <v>659.51</v>
      </c>
      <c r="I12" s="54">
        <v>15</v>
      </c>
      <c r="J12" s="54">
        <v>34469.528584745713</v>
      </c>
      <c r="K12" s="54">
        <v>568.54509322033903</v>
      </c>
      <c r="L12" s="54">
        <v>0.46610169491525427</v>
      </c>
    </row>
    <row r="13" spans="2:12" ht="28.8" x14ac:dyDescent="0.3">
      <c r="B13" s="24"/>
      <c r="C13" s="53" t="s">
        <v>162</v>
      </c>
      <c r="D13" s="54">
        <v>11276</v>
      </c>
      <c r="E13" s="54">
        <v>34</v>
      </c>
      <c r="F13" s="54">
        <v>1</v>
      </c>
      <c r="G13" s="54">
        <v>159699.29500000001</v>
      </c>
      <c r="H13" s="54">
        <v>322</v>
      </c>
      <c r="I13" s="54">
        <v>15</v>
      </c>
      <c r="J13" s="54">
        <v>5256.2288135587805</v>
      </c>
      <c r="K13" s="54">
        <v>15.847457627118645</v>
      </c>
      <c r="L13" s="54">
        <v>0.46610169491525427</v>
      </c>
    </row>
    <row r="14" spans="2:12" x14ac:dyDescent="0.3">
      <c r="B14" s="36" t="s">
        <v>43</v>
      </c>
      <c r="C14" s="24" t="s">
        <v>110</v>
      </c>
      <c r="D14" s="54">
        <v>1384</v>
      </c>
      <c r="E14" s="54">
        <v>44</v>
      </c>
      <c r="F14" s="54">
        <v>0</v>
      </c>
      <c r="G14" s="54">
        <v>130353.38999999998</v>
      </c>
      <c r="H14" s="54">
        <v>4558.6399999999994</v>
      </c>
      <c r="I14" s="54">
        <v>0</v>
      </c>
      <c r="J14" s="54">
        <v>35919.725322033504</v>
      </c>
      <c r="K14" s="54">
        <v>2240.5330169491526</v>
      </c>
      <c r="L14" s="54">
        <v>0</v>
      </c>
    </row>
    <row r="15" spans="2:12" ht="28.8" x14ac:dyDescent="0.3">
      <c r="B15" s="24"/>
      <c r="C15" s="53" t="s">
        <v>163</v>
      </c>
      <c r="D15" s="54">
        <v>934</v>
      </c>
      <c r="E15" s="54">
        <v>14</v>
      </c>
      <c r="F15" s="54">
        <v>0</v>
      </c>
      <c r="G15" s="54">
        <v>109000.78999999998</v>
      </c>
      <c r="H15" s="54">
        <v>1538.2</v>
      </c>
      <c r="I15" s="54">
        <v>0</v>
      </c>
      <c r="J15" s="54">
        <v>28870.147406779233</v>
      </c>
      <c r="K15" s="54">
        <v>757.91467796610164</v>
      </c>
      <c r="L15" s="54">
        <v>0</v>
      </c>
    </row>
    <row r="16" spans="2:12" x14ac:dyDescent="0.3">
      <c r="B16" s="36" t="s">
        <v>45</v>
      </c>
      <c r="C16" s="24" t="s">
        <v>111</v>
      </c>
      <c r="D16" s="54">
        <v>69</v>
      </c>
      <c r="E16" s="54">
        <v>55</v>
      </c>
      <c r="F16" s="54">
        <v>0</v>
      </c>
      <c r="G16" s="54">
        <v>23790.751999999997</v>
      </c>
      <c r="H16" s="54">
        <v>19084.323999999997</v>
      </c>
      <c r="I16" s="54">
        <v>0</v>
      </c>
      <c r="J16" s="54">
        <v>180047.59377118642</v>
      </c>
      <c r="K16" s="54">
        <v>55289.744152542393</v>
      </c>
      <c r="L16" s="54">
        <v>0</v>
      </c>
    </row>
    <row r="17" spans="2:12" ht="28.8" x14ac:dyDescent="0.3">
      <c r="B17" s="24"/>
      <c r="C17" s="53" t="s">
        <v>164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</row>
    <row r="18" spans="2:12" x14ac:dyDescent="0.3">
      <c r="B18" s="36" t="s">
        <v>50</v>
      </c>
      <c r="C18" s="24" t="s">
        <v>112</v>
      </c>
      <c r="D18" s="54">
        <v>18</v>
      </c>
      <c r="E18" s="54">
        <v>23</v>
      </c>
      <c r="F18" s="54">
        <v>2</v>
      </c>
      <c r="G18" s="54">
        <v>27643.22</v>
      </c>
      <c r="H18" s="54">
        <v>63647.280000000006</v>
      </c>
      <c r="I18" s="54">
        <v>13051</v>
      </c>
      <c r="J18" s="54">
        <v>352436.0501694915</v>
      </c>
      <c r="K18" s="54">
        <v>723856.70124576264</v>
      </c>
      <c r="L18" s="54">
        <v>4361.8900000000003</v>
      </c>
    </row>
    <row r="19" spans="2:12" ht="28.8" x14ac:dyDescent="0.3">
      <c r="B19" s="24"/>
      <c r="C19" s="53" t="s">
        <v>164</v>
      </c>
      <c r="D19" s="54">
        <v>0</v>
      </c>
      <c r="E19" s="54">
        <v>1</v>
      </c>
      <c r="F19" s="54">
        <v>0</v>
      </c>
      <c r="G19" s="54">
        <v>0</v>
      </c>
      <c r="H19" s="54">
        <v>6740</v>
      </c>
      <c r="I19" s="54">
        <v>0</v>
      </c>
      <c r="J19" s="54">
        <v>0</v>
      </c>
      <c r="K19" s="54">
        <v>509311.8739576271</v>
      </c>
      <c r="L19" s="54">
        <v>0</v>
      </c>
    </row>
    <row r="20" spans="2:12" x14ac:dyDescent="0.3">
      <c r="B20" s="36" t="s">
        <v>52</v>
      </c>
      <c r="C20" s="24" t="s">
        <v>116</v>
      </c>
      <c r="D20" s="54">
        <v>0</v>
      </c>
      <c r="E20" s="54">
        <v>1</v>
      </c>
      <c r="F20" s="54">
        <v>7</v>
      </c>
      <c r="G20" s="54">
        <v>0</v>
      </c>
      <c r="H20" s="54">
        <v>18447</v>
      </c>
      <c r="I20" s="54">
        <v>118000.8</v>
      </c>
      <c r="J20" s="54">
        <v>0</v>
      </c>
      <c r="K20" s="54">
        <v>31.138999999999999</v>
      </c>
      <c r="L20" s="54">
        <v>15898.580118644071</v>
      </c>
    </row>
    <row r="21" spans="2:12" ht="28.8" x14ac:dyDescent="0.3">
      <c r="B21" s="24"/>
      <c r="C21" s="53" t="s">
        <v>164</v>
      </c>
      <c r="D21" s="54">
        <v>0</v>
      </c>
      <c r="E21" s="54">
        <v>0</v>
      </c>
      <c r="F21" s="54">
        <v>1</v>
      </c>
      <c r="G21" s="54">
        <v>0</v>
      </c>
      <c r="H21" s="54">
        <v>0</v>
      </c>
      <c r="I21" s="54">
        <v>15000</v>
      </c>
      <c r="J21" s="54">
        <v>0</v>
      </c>
      <c r="K21" s="54">
        <v>0</v>
      </c>
      <c r="L21" s="54">
        <v>13989.022516949155</v>
      </c>
    </row>
    <row r="22" spans="2:12" x14ac:dyDescent="0.3">
      <c r="B22" s="36" t="s">
        <v>54</v>
      </c>
      <c r="C22" s="24" t="s">
        <v>108</v>
      </c>
      <c r="D22" s="54">
        <v>0</v>
      </c>
      <c r="E22" s="54">
        <v>1</v>
      </c>
      <c r="F22" s="54">
        <v>1</v>
      </c>
      <c r="G22" s="54">
        <v>0</v>
      </c>
      <c r="H22" s="54">
        <v>25218</v>
      </c>
      <c r="I22" s="54">
        <v>168000</v>
      </c>
      <c r="J22" s="54">
        <v>0</v>
      </c>
      <c r="K22" s="54">
        <v>31.138999999999999</v>
      </c>
      <c r="L22" s="54">
        <v>446708.39443220344</v>
      </c>
    </row>
    <row r="25" spans="2:12" x14ac:dyDescent="0.3">
      <c r="B25" s="121" t="s">
        <v>118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</row>
    <row r="26" spans="2:12" ht="40.5" customHeight="1" x14ac:dyDescent="0.3">
      <c r="B26" s="122" t="s">
        <v>119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</row>
  </sheetData>
  <mergeCells count="9">
    <mergeCell ref="B25:L25"/>
    <mergeCell ref="B26:L26"/>
    <mergeCell ref="B5:L5"/>
    <mergeCell ref="B6:L6"/>
    <mergeCell ref="B7:L7"/>
    <mergeCell ref="B10:C11"/>
    <mergeCell ref="D10:F10"/>
    <mergeCell ref="G10:I10"/>
    <mergeCell ref="J10:L10"/>
  </mergeCells>
  <hyperlinks>
    <hyperlink ref="C13" location="P668" display="P668"/>
    <hyperlink ref="C15" location="P669" display="P669"/>
  </hyperlink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6"/>
  <sheetViews>
    <sheetView topLeftCell="A4" workbookViewId="0">
      <selection activeCell="B8" sqref="B8"/>
    </sheetView>
  </sheetViews>
  <sheetFormatPr defaultRowHeight="14.4" x14ac:dyDescent="0.3"/>
  <cols>
    <col min="3" max="3" width="28.88671875" customWidth="1"/>
    <col min="4" max="4" width="10.6640625" customWidth="1"/>
    <col min="5" max="5" width="9.33203125" customWidth="1"/>
    <col min="6" max="6" width="13.33203125" customWidth="1"/>
    <col min="7" max="7" width="9.33203125" customWidth="1"/>
    <col min="8" max="8" width="11.33203125" customWidth="1"/>
    <col min="9" max="9" width="12.88671875" customWidth="1"/>
    <col min="10" max="10" width="13.6640625" customWidth="1"/>
    <col min="11" max="11" width="13" customWidth="1"/>
    <col min="12" max="12" width="12.6640625" customWidth="1"/>
    <col min="14" max="14" width="10.44140625" bestFit="1" customWidth="1"/>
  </cols>
  <sheetData>
    <row r="2" spans="2:12" x14ac:dyDescent="0.3">
      <c r="I2" t="s">
        <v>170</v>
      </c>
      <c r="L2" s="3"/>
    </row>
    <row r="4" spans="2:12" x14ac:dyDescent="0.3">
      <c r="C4" s="25"/>
    </row>
    <row r="5" spans="2:12" x14ac:dyDescent="0.3">
      <c r="B5" s="127" t="s">
        <v>113</v>
      </c>
      <c r="C5" s="127"/>
      <c r="D5" s="127"/>
      <c r="E5" s="127"/>
      <c r="F5" s="127"/>
      <c r="G5" s="127"/>
      <c r="H5" s="127"/>
      <c r="I5" s="127"/>
      <c r="J5" s="26"/>
      <c r="K5" s="26"/>
      <c r="L5" s="26"/>
    </row>
    <row r="6" spans="2:12" ht="14.4" customHeight="1" x14ac:dyDescent="0.3">
      <c r="B6" s="128" t="s">
        <v>173</v>
      </c>
      <c r="C6" s="129"/>
      <c r="D6" s="129"/>
      <c r="E6" s="129"/>
      <c r="F6" s="129"/>
      <c r="G6" s="129"/>
      <c r="H6" s="129"/>
      <c r="I6" s="129"/>
      <c r="J6" s="27"/>
      <c r="K6" s="27"/>
      <c r="L6" s="27"/>
    </row>
    <row r="7" spans="2:12" ht="14.4" customHeight="1" x14ac:dyDescent="0.3">
      <c r="B7" s="130" t="s">
        <v>227</v>
      </c>
      <c r="C7" s="129"/>
      <c r="D7" s="129"/>
      <c r="E7" s="129"/>
      <c r="F7" s="129"/>
      <c r="G7" s="129"/>
      <c r="H7" s="129"/>
      <c r="I7" s="129"/>
      <c r="J7" s="27"/>
      <c r="K7" s="27"/>
      <c r="L7" s="27"/>
    </row>
    <row r="10" spans="2:12" ht="28.95" customHeight="1" x14ac:dyDescent="0.3">
      <c r="B10" s="131" t="s">
        <v>104</v>
      </c>
      <c r="C10" s="131"/>
      <c r="D10" s="131" t="s">
        <v>105</v>
      </c>
      <c r="E10" s="131"/>
      <c r="F10" s="131"/>
      <c r="G10" s="131" t="s">
        <v>106</v>
      </c>
      <c r="H10" s="131"/>
      <c r="I10" s="131"/>
    </row>
    <row r="11" spans="2:12" x14ac:dyDescent="0.3">
      <c r="B11" s="131"/>
      <c r="C11" s="131"/>
      <c r="D11" s="28" t="s">
        <v>100</v>
      </c>
      <c r="E11" s="28" t="s">
        <v>101</v>
      </c>
      <c r="F11" s="28" t="s">
        <v>107</v>
      </c>
      <c r="G11" s="28" t="s">
        <v>100</v>
      </c>
      <c r="H11" s="28" t="s">
        <v>101</v>
      </c>
      <c r="I11" s="28" t="s">
        <v>107</v>
      </c>
    </row>
    <row r="12" spans="2:12" x14ac:dyDescent="0.3">
      <c r="B12" s="28" t="s">
        <v>41</v>
      </c>
      <c r="C12" s="29" t="s">
        <v>109</v>
      </c>
      <c r="D12" s="55">
        <v>16580</v>
      </c>
      <c r="E12" s="55">
        <v>79</v>
      </c>
      <c r="F12" s="55">
        <v>1</v>
      </c>
      <c r="G12" s="56">
        <v>232646.57999999993</v>
      </c>
      <c r="H12" s="56">
        <v>869.1</v>
      </c>
      <c r="I12" s="56">
        <v>15</v>
      </c>
      <c r="J12" s="25"/>
      <c r="K12" s="25"/>
      <c r="L12" s="25"/>
    </row>
    <row r="13" spans="2:12" ht="28.8" x14ac:dyDescent="0.3">
      <c r="B13" s="29"/>
      <c r="C13" s="30" t="s">
        <v>162</v>
      </c>
      <c r="D13" s="55">
        <v>10890</v>
      </c>
      <c r="E13" s="55">
        <v>31</v>
      </c>
      <c r="F13" s="55">
        <v>1</v>
      </c>
      <c r="G13" s="56">
        <v>154553.66999999998</v>
      </c>
      <c r="H13" s="56">
        <v>286</v>
      </c>
      <c r="I13" s="56">
        <v>15</v>
      </c>
      <c r="J13" s="31"/>
      <c r="K13" s="31"/>
      <c r="L13" s="31"/>
    </row>
    <row r="14" spans="2:12" x14ac:dyDescent="0.3">
      <c r="B14" s="28" t="s">
        <v>43</v>
      </c>
      <c r="C14" s="29" t="s">
        <v>110</v>
      </c>
      <c r="D14" s="55">
        <v>1697</v>
      </c>
      <c r="E14" s="55">
        <v>91</v>
      </c>
      <c r="F14" s="55">
        <v>0</v>
      </c>
      <c r="G14" s="56">
        <v>160065.66999999995</v>
      </c>
      <c r="H14" s="56">
        <v>8340.0080000000016</v>
      </c>
      <c r="I14" s="56">
        <v>0</v>
      </c>
    </row>
    <row r="15" spans="2:12" ht="28.8" x14ac:dyDescent="0.3">
      <c r="B15" s="29"/>
      <c r="C15" s="30" t="s">
        <v>163</v>
      </c>
      <c r="D15" s="55">
        <v>163</v>
      </c>
      <c r="E15" s="55">
        <v>3</v>
      </c>
      <c r="F15" s="55">
        <v>0</v>
      </c>
      <c r="G15" s="56">
        <v>21170</v>
      </c>
      <c r="H15" s="56">
        <v>450</v>
      </c>
      <c r="I15" s="56">
        <v>0</v>
      </c>
    </row>
    <row r="16" spans="2:12" x14ac:dyDescent="0.3">
      <c r="B16" s="28" t="s">
        <v>45</v>
      </c>
      <c r="C16" s="29" t="s">
        <v>111</v>
      </c>
      <c r="D16" s="55">
        <v>211</v>
      </c>
      <c r="E16" s="55">
        <v>98</v>
      </c>
      <c r="F16" s="55">
        <v>1</v>
      </c>
      <c r="G16" s="56">
        <v>74279.888000000006</v>
      </c>
      <c r="H16" s="56">
        <v>39854.743999999999</v>
      </c>
      <c r="I16" s="56">
        <v>400</v>
      </c>
    </row>
    <row r="17" spans="2:9" ht="28.8" x14ac:dyDescent="0.3">
      <c r="B17" s="29"/>
      <c r="C17" s="30" t="s">
        <v>164</v>
      </c>
      <c r="D17" s="55">
        <v>0</v>
      </c>
      <c r="E17" s="55">
        <v>0</v>
      </c>
      <c r="F17" s="55">
        <v>0</v>
      </c>
      <c r="G17" s="56">
        <v>0</v>
      </c>
      <c r="H17" s="56">
        <v>0</v>
      </c>
      <c r="I17" s="56">
        <v>0</v>
      </c>
    </row>
    <row r="18" spans="2:9" x14ac:dyDescent="0.3">
      <c r="B18" s="28" t="s">
        <v>50</v>
      </c>
      <c r="C18" s="29" t="s">
        <v>112</v>
      </c>
      <c r="D18" s="55">
        <v>57</v>
      </c>
      <c r="E18" s="55">
        <v>60</v>
      </c>
      <c r="F18" s="55">
        <v>1</v>
      </c>
      <c r="G18" s="56">
        <v>97912.449999999983</v>
      </c>
      <c r="H18" s="56">
        <v>161890.20000000001</v>
      </c>
      <c r="I18" s="56">
        <v>6159</v>
      </c>
    </row>
    <row r="19" spans="2:9" ht="28.8" x14ac:dyDescent="0.3">
      <c r="B19" s="29"/>
      <c r="C19" s="30" t="s">
        <v>164</v>
      </c>
      <c r="D19" s="55">
        <v>0</v>
      </c>
      <c r="E19" s="55">
        <v>0</v>
      </c>
      <c r="F19" s="55">
        <v>0</v>
      </c>
      <c r="G19" s="56">
        <v>0</v>
      </c>
      <c r="H19" s="56">
        <v>0</v>
      </c>
      <c r="I19" s="56">
        <v>0</v>
      </c>
    </row>
    <row r="20" spans="2:9" x14ac:dyDescent="0.3">
      <c r="B20" s="28" t="s">
        <v>52</v>
      </c>
      <c r="C20" s="29" t="s">
        <v>116</v>
      </c>
      <c r="D20" s="55">
        <v>3</v>
      </c>
      <c r="E20" s="55">
        <v>18</v>
      </c>
      <c r="F20" s="55">
        <v>10</v>
      </c>
      <c r="G20" s="56">
        <v>50871.61</v>
      </c>
      <c r="H20" s="56">
        <v>513179.55000000005</v>
      </c>
      <c r="I20" s="56">
        <v>194621</v>
      </c>
    </row>
    <row r="21" spans="2:9" ht="28.8" x14ac:dyDescent="0.3">
      <c r="B21" s="29"/>
      <c r="C21" s="30" t="s">
        <v>164</v>
      </c>
      <c r="D21" s="55">
        <v>0</v>
      </c>
      <c r="E21" s="55">
        <v>0</v>
      </c>
      <c r="F21" s="55">
        <v>0</v>
      </c>
      <c r="G21" s="56">
        <v>0</v>
      </c>
      <c r="H21" s="56">
        <v>0</v>
      </c>
      <c r="I21" s="56">
        <v>0</v>
      </c>
    </row>
    <row r="22" spans="2:9" x14ac:dyDescent="0.3">
      <c r="B22" s="28" t="s">
        <v>54</v>
      </c>
      <c r="C22" s="29" t="s">
        <v>108</v>
      </c>
      <c r="D22" s="55">
        <v>0</v>
      </c>
      <c r="E22" s="55">
        <v>2</v>
      </c>
      <c r="F22" s="55">
        <v>0</v>
      </c>
      <c r="G22" s="56">
        <v>0</v>
      </c>
      <c r="H22" s="56">
        <v>15031</v>
      </c>
      <c r="I22" s="56">
        <v>0</v>
      </c>
    </row>
    <row r="25" spans="2:9" x14ac:dyDescent="0.3">
      <c r="B25" s="25" t="s">
        <v>118</v>
      </c>
      <c r="C25" s="25"/>
      <c r="D25" s="25"/>
      <c r="E25" s="25"/>
      <c r="F25" s="25"/>
      <c r="G25" s="25"/>
      <c r="H25" s="25"/>
      <c r="I25" s="25"/>
    </row>
    <row r="26" spans="2:9" ht="72.599999999999994" customHeight="1" x14ac:dyDescent="0.3">
      <c r="B26" s="126" t="s">
        <v>169</v>
      </c>
      <c r="C26" s="126"/>
      <c r="D26" s="126"/>
      <c r="E26" s="126"/>
      <c r="F26" s="126"/>
      <c r="G26" s="126"/>
      <c r="H26" s="126"/>
      <c r="I26" s="126"/>
    </row>
  </sheetData>
  <mergeCells count="7">
    <mergeCell ref="B26:I26"/>
    <mergeCell ref="B5:I5"/>
    <mergeCell ref="B6:I6"/>
    <mergeCell ref="B7:I7"/>
    <mergeCell ref="B10:C11"/>
    <mergeCell ref="D10:F10"/>
    <mergeCell ref="G10:I10"/>
  </mergeCells>
  <hyperlinks>
    <hyperlink ref="C13" location="P668" display="P668"/>
    <hyperlink ref="C15" location="P669" display="P669"/>
  </hyperlink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2</vt:lpstr>
      <vt:lpstr>3 </vt:lpstr>
      <vt:lpstr>4</vt:lpstr>
      <vt:lpstr>5</vt:lpstr>
      <vt:lpstr>6</vt:lpstr>
      <vt:lpstr>7</vt:lpstr>
      <vt:lpstr>8 </vt:lpstr>
      <vt:lpstr>9</vt:lpstr>
      <vt:lpstr>'3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2018-10-19T12:24:41Z</dcterms:modified>
</cp:coreProperties>
</file>